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ee9KHVHPKBOh/OZhdhvENcAqoKBvxnmLCpzwoOoYpIGG7+Y6jp0To6BMHRmUDkvjkbYK5Ox3H0WHJLqbJn4CYw==" workbookSaltValue="ShDKewJaFUAXxKL338Xg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F30" i="17"/>
  <c r="F26" i="17"/>
  <c r="F14" i="7"/>
  <c r="T14" i="20"/>
  <c r="BB26" i="13"/>
  <c r="AH14" i="16"/>
  <c r="AO14" i="21"/>
  <c r="AP14" i="16"/>
  <c r="T23" i="17"/>
  <c r="T26" i="17" s="1"/>
  <c r="T30" i="17" s="1"/>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D14" i="7"/>
  <c r="H28" i="2"/>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I9" i="12" s="1"/>
  <c r="J9" i="2"/>
  <c r="C23" i="2"/>
  <c r="D23" i="2" s="1"/>
  <c r="AL16" i="11"/>
  <c r="D16" i="6"/>
  <c r="J16" i="12" s="1"/>
  <c r="AN16" i="11"/>
  <c r="C16" i="6"/>
  <c r="I16" i="12" s="1"/>
  <c r="J9" i="7"/>
  <c r="BI20" i="16"/>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Q14" i="21"/>
  <c r="AM13" i="11"/>
  <c r="AM16" i="11"/>
  <c r="AM11" i="11"/>
  <c r="AP30" i="20"/>
  <c r="AO10" i="17"/>
  <c r="AO30" i="17"/>
  <c r="AP23" i="20"/>
  <c r="AP26" i="21"/>
  <c r="X14" i="20"/>
  <c r="S13" i="17"/>
  <c r="L25" i="2"/>
  <c r="L11" i="2"/>
  <c r="AZ12" i="11"/>
  <c r="X22" i="20"/>
  <c r="AA16" i="16"/>
  <c r="AA25" i="16"/>
  <c r="T28" i="11"/>
  <c r="R28" i="14"/>
  <c r="S28" i="14"/>
  <c r="V28" i="14" s="1"/>
  <c r="S10" i="14"/>
  <c r="V10" i="14" s="1"/>
  <c r="T19" i="20"/>
  <c r="X20" i="20"/>
  <c r="X11" i="17"/>
  <c r="X10" i="17"/>
  <c r="AA29" i="16"/>
  <c r="T20" i="11"/>
  <c r="T29" i="11"/>
  <c r="R29" i="14"/>
  <c r="R30" i="14" s="1"/>
  <c r="R10" i="14"/>
  <c r="S12" i="14"/>
  <c r="V12" i="14" s="1"/>
  <c r="R10" i="21"/>
  <c r="BJ11" i="11"/>
  <c r="AP21" i="20"/>
  <c r="AZ18" i="11"/>
  <c r="V12" i="21"/>
  <c r="BF10" i="11"/>
  <c r="Q10" i="11" s="1"/>
  <c r="V25" i="11"/>
  <c r="V11" i="16"/>
  <c r="BG10" i="11"/>
  <c r="BJ22" i="11"/>
  <c r="T9" i="11"/>
  <c r="BH11" i="16"/>
  <c r="S20" i="14"/>
  <c r="V20" i="14" s="1"/>
  <c r="BK13" i="11"/>
  <c r="BH16" i="11"/>
  <c r="BH19" i="16"/>
  <c r="P18" i="17"/>
  <c r="BM29" i="11"/>
  <c r="P29" i="11" s="1"/>
  <c r="BF29" i="11"/>
  <c r="BH19" i="11"/>
  <c r="BK19" i="11"/>
  <c r="BK9" i="11"/>
  <c r="BK16" i="11"/>
  <c r="BJ21" i="11"/>
  <c r="V21" i="11"/>
  <c r="BF22" i="11"/>
  <c r="BH9" i="11"/>
  <c r="BI16" i="11"/>
  <c r="BJ29" i="11"/>
  <c r="BM13" i="11"/>
  <c r="Q13" i="11" s="1"/>
  <c r="BJ12"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F11" i="11"/>
  <c r="BL9" i="11"/>
  <c r="Q9" i="11" s="1"/>
  <c r="BF19" i="11"/>
  <c r="BL18" i="11"/>
  <c r="P18" i="11" s="1"/>
  <c r="BK12" i="11"/>
  <c r="S18" i="16"/>
  <c r="S9" i="17"/>
  <c r="BI10" i="11"/>
  <c r="BM25" i="11"/>
  <c r="V28" i="11"/>
  <c r="BI18" i="11"/>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X26" i="16" s="1"/>
  <c r="AA11" i="16"/>
  <c r="L9" i="2"/>
  <c r="V25" i="16"/>
  <c r="BH21" i="16"/>
  <c r="BH18" i="16"/>
  <c r="BJ19" i="11"/>
  <c r="BI28" i="11"/>
  <c r="BF25" i="11"/>
  <c r="AZ29" i="11"/>
  <c r="V18" i="16"/>
  <c r="BG29" i="11"/>
  <c r="Q10" i="21"/>
  <c r="Q14" i="21" s="1"/>
  <c r="Q31" i="21" s="1"/>
  <c r="BK25" i="11"/>
  <c r="BH20" i="11"/>
  <c r="BG16" i="11"/>
  <c r="BH13" i="11"/>
  <c r="BL13" i="11"/>
  <c r="BH18" i="11"/>
  <c r="BH23" i="11" s="1"/>
  <c r="BM16" i="11"/>
  <c r="AO28" i="17"/>
  <c r="BJ25" i="11"/>
  <c r="AZ16" i="11"/>
  <c r="AZ23" i="11" s="1"/>
  <c r="AZ26"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X31" i="21" s="1"/>
  <c r="L20" i="2"/>
  <c r="V10" i="16"/>
  <c r="V9" i="16"/>
  <c r="X13" i="16"/>
  <c r="BW21" i="20"/>
  <c r="AZ17" i="11"/>
  <c r="BI20" i="11"/>
  <c r="BL28" i="11"/>
  <c r="BH10" i="16"/>
  <c r="S18" i="17"/>
  <c r="BH12" i="16"/>
  <c r="BK22" i="11"/>
  <c r="L22" i="2"/>
  <c r="S16" i="17"/>
  <c r="S17" i="17"/>
  <c r="X19" i="16"/>
  <c r="U9" i="17"/>
  <c r="U31" i="17" s="1"/>
  <c r="AP14" i="20"/>
  <c r="V10" i="21"/>
  <c r="AO18" i="17"/>
  <c r="AO9" i="17"/>
  <c r="AO16" i="17"/>
  <c r="AM20" i="11"/>
  <c r="AO13"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23" i="14" s="1"/>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AD30" i="14"/>
  <c r="M30" i="14"/>
  <c r="P30" i="14"/>
  <c r="O14" i="11"/>
  <c r="O31" i="11"/>
  <c r="AU32" i="17"/>
  <c r="BR32" i="16"/>
  <c r="AX32" i="21"/>
  <c r="BP32" i="16"/>
  <c r="O32" i="20"/>
  <c r="AW32" i="11"/>
  <c r="AV32" i="21"/>
  <c r="O12" i="11"/>
  <c r="H32" i="17"/>
  <c r="AL31" i="21" l="1"/>
  <c r="E31" i="2"/>
  <c r="BU33" i="17"/>
  <c r="BF23" i="11"/>
  <c r="BK14" i="11"/>
  <c r="BK31" i="11" s="1"/>
  <c r="S30" i="14"/>
  <c r="Q28" i="11"/>
  <c r="BH14" i="11"/>
  <c r="BI23" i="11"/>
  <c r="Q21" i="11"/>
  <c r="P17" i="11"/>
  <c r="P25" i="11"/>
  <c r="R14" i="21"/>
  <c r="R31" i="21" s="1"/>
  <c r="AZ31" i="11"/>
  <c r="AZ14" i="11"/>
  <c r="P9" i="11"/>
  <c r="BL23" i="11"/>
  <c r="R31" i="20"/>
  <c r="S23" i="16"/>
  <c r="S31" i="16"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<sst xmlns="http://schemas.openxmlformats.org/spreadsheetml/2006/main" count="2682" uniqueCount="1193">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</sst>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Uc/NU+9MHxbZDQ8D5cMHomQXcbiGDqlRhB7X/7pq2XL8zF6KeXDa8LgE4Q7kOhJoKQY7OJcwVvplu01cSBblQ==" saltValue="zTMS7TbEUHrWkpSVTsYX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4</v>
      </c>
      <c r="F10" s="240">
        <f>IF(ISNUMBER(Datos!K10),Datos!K10," - ")</f>
        <v>0</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0.26666666666666666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52.722929936305739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808</v>
      </c>
      <c r="D17" s="239">
        <f>IF(ISNUMBER(IF(D_I="SI",Datos!I17,Datos!I17+Datos!AC17)),IF(D_I="SI",Datos!I17,Datos!I17+Datos!AC17)," - ")</f>
        <v>806</v>
      </c>
      <c r="E17" s="240">
        <f>IF(ISNUMBER(IF(D_I="SI",Datos!J17,Datos!J17+Datos!AD17)),IF(D_I="SI",Datos!J17,Datos!J17+Datos!AD17)," - ")</f>
        <v>476</v>
      </c>
      <c r="F17" s="240">
        <f>IF(ISNUMBER(IF(D_I="SI",Datos!K17,Datos!K17+Datos!AE17)),IF(D_I="SI",Datos!K17,Datos!K17+Datos!AE17)," - ")</f>
        <v>390</v>
      </c>
      <c r="G17" s="1390" t="str">
        <f>IF(Datos!E17&lt;&gt;"",Datos!E17,Datos!D17)</f>
        <v>04</v>
      </c>
      <c r="H17" s="241">
        <f>IF(ISNUMBER(IF(D_I="SI",Datos!L17,Datos!L17+Datos!AF17)),IF(D_I="SI",Datos!L17,Datos!L17+Datos!AF17)," - ")</f>
        <v>894</v>
      </c>
      <c r="I17" s="1400" t="str">
        <f>IF(ISNUMBER(Datos!AS17/Datos!BM17),Datos!AS17/Datos!BM17," - ")</f>
        <v xml:space="preserve"> - </v>
      </c>
      <c r="J17" s="1401">
        <f>IF(ISNUMBER(Datos!BY17/Datos!CN17),Datos!BY17/Datos!CN17," - ")</f>
        <v>0</v>
      </c>
      <c r="K17" s="244">
        <f t="shared" si="3"/>
        <v>0.10643564356435643</v>
      </c>
      <c r="L17" s="1402">
        <f>IF(ISNUMBER(NºAsuntos!I17/NºAsuntos!G17),(NºAsuntos!I17/NºAsuntos!G17)*11," - ")</f>
        <v>25.215384615384615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45</v>
      </c>
      <c r="F18" s="240">
        <f>IF(ISNUMBER(IF(D_I="SI",Datos!K18,Datos!K18+Datos!AE18)),IF(D_I="SI",Datos!K18,Datos!K18+Datos!AE18)," - ")</f>
        <v>31</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2.8</v>
      </c>
      <c r="L18" s="1402">
        <f>IF(ISNUMBER(NºAsuntos!I18/NºAsuntos!G18),(NºAsuntos!I18/NºAsuntos!G18)*11," - ")</f>
        <v>6.741935483870968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813</v>
      </c>
      <c r="D23" s="1407">
        <f>SUBTOTAL(9,D16:D22)</f>
        <v>811</v>
      </c>
      <c r="E23" s="1408">
        <f>SUBTOTAL(9,E16:E22)</f>
        <v>521</v>
      </c>
      <c r="F23" s="1408">
        <f>SUBTOTAL(9,F16:F22)</f>
        <v>421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828</v>
      </c>
      <c r="D31" s="1435">
        <f>SUBTOTAL(9,D9:D30)</f>
        <v>826</v>
      </c>
      <c r="E31" s="1436">
        <f>SUBTOTAL(9,E9:E30)</f>
        <v>525</v>
      </c>
      <c r="F31" s="1436">
        <f>SUBTOTAL(9,F9:F30)</f>
        <v>421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wF6T8aris6DyCZMCp9AcJNIiSu1993PCoaLpo+/iHHjNy7bo6Y6ggMEikZcxJxzgPudDRzqb3W+etsXimSwyw==" saltValue="+0f7rcxfcZuuhkTV6JzT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NtwDSA+rJj4wNuvQjJ1UHBgckkV0aQbnIwhdepBfT35nLTqIzt4s9V5LQeDQiKmMRiJB4nuSRdO0hzv7oBxLA==" saltValue="+Sjbfjb2mn35xTAAf/GH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4</v>
      </c>
      <c r="K10" s="194">
        <v>0</v>
      </c>
      <c r="L10" s="194">
        <v>19</v>
      </c>
      <c r="M10" s="194">
        <v>0</v>
      </c>
      <c r="N10" s="194">
        <v>0</v>
      </c>
      <c r="O10" s="194">
        <v>0</v>
      </c>
      <c r="P10" s="194">
        <v>0</v>
      </c>
      <c r="Q10" s="194">
        <v>15</v>
      </c>
      <c r="R10" s="194">
        <v>12</v>
      </c>
      <c r="S10" s="194">
        <v>14</v>
      </c>
      <c r="T10" s="194">
        <v>4</v>
      </c>
      <c r="U10" s="194">
        <v>6</v>
      </c>
      <c r="V10" s="194">
        <v>12</v>
      </c>
      <c r="W10" s="194">
        <v>2</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4</v>
      </c>
      <c r="BA10" s="139">
        <f t="shared" si="0"/>
        <v>6</v>
      </c>
      <c r="BB10" s="139">
        <f t="shared" si="0"/>
        <v>12</v>
      </c>
      <c r="BC10" s="135">
        <f t="shared" si="0"/>
        <v>2</v>
      </c>
      <c r="BD10" s="136">
        <f>IF(ISNUMBER(BA10/AZ10),BA10/AZ10," - ")</f>
        <v>1.5</v>
      </c>
      <c r="BE10" s="137">
        <f>IF(ISNUMBER(BB10/BA10),BB10/BA10, " - ")</f>
        <v>2</v>
      </c>
      <c r="BF10" s="137">
        <f>IF(ISNUMBER(BC10/BA10),BC10/BA10, " - ")</f>
        <v>0.33333333333333331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1329</v>
      </c>
      <c r="J12" s="196">
        <v>465</v>
      </c>
      <c r="K12" s="196">
        <v>294</v>
      </c>
      <c r="L12" s="196">
        <v>1500</v>
      </c>
      <c r="M12" s="196">
        <v>75</v>
      </c>
      <c r="N12" s="196">
        <v>112</v>
      </c>
      <c r="O12" s="194">
        <v>211</v>
      </c>
      <c r="P12" s="196">
        <v>123</v>
      </c>
      <c r="Q12" s="196">
        <v>726</v>
      </c>
      <c r="R12" s="196">
        <v>1682</v>
      </c>
      <c r="S12" s="196">
        <v>1304</v>
      </c>
      <c r="T12" s="196">
        <v>304</v>
      </c>
      <c r="U12" s="196">
        <v>356</v>
      </c>
      <c r="V12" s="196">
        <v>1252</v>
      </c>
      <c r="W12" s="196">
        <v>76</v>
      </c>
      <c r="X12" s="202">
        <v>134</v>
      </c>
      <c r="Y12" s="204">
        <v>11</v>
      </c>
      <c r="Z12" s="194">
        <v>14</v>
      </c>
      <c r="AA12" s="194">
        <v>20</v>
      </c>
      <c r="AB12" s="194">
        <v>5</v>
      </c>
      <c r="AC12" s="196">
        <v>0</v>
      </c>
      <c r="AD12" s="196">
        <v>0</v>
      </c>
      <c r="AE12" s="196">
        <v>0</v>
      </c>
      <c r="AF12" s="202">
        <v>0</v>
      </c>
      <c r="AG12" s="215">
        <v>13</v>
      </c>
      <c r="AH12" s="196">
        <v>16</v>
      </c>
      <c r="AI12" s="196">
        <v>12</v>
      </c>
      <c r="AJ12" s="216">
        <v>17</v>
      </c>
      <c r="AK12" s="195">
        <v>0</v>
      </c>
      <c r="AL12" s="196">
        <v>0</v>
      </c>
      <c r="AM12" s="196">
        <v>0</v>
      </c>
      <c r="AN12" s="202">
        <v>0</v>
      </c>
      <c r="AO12" s="283">
        <v>2</v>
      </c>
      <c r="AP12" s="168">
        <v>2</v>
      </c>
      <c r="AQ12" s="168">
        <v>2</v>
      </c>
      <c r="AR12" s="167">
        <v>2</v>
      </c>
      <c r="AS12" s="381" t="s">
        <v>1075</v>
      </c>
      <c r="AT12" s="216"/>
      <c r="AU12" s="215"/>
      <c r="AV12" s="216"/>
      <c r="AW12" s="215"/>
      <c r="AX12" s="216"/>
      <c r="AY12" s="136">
        <f t="shared" si="1"/>
        <v>1317</v>
      </c>
      <c r="AZ12" s="137">
        <f t="shared" si="1"/>
        <v>320</v>
      </c>
      <c r="BA12" s="137">
        <f t="shared" si="1"/>
        <v>368</v>
      </c>
      <c r="BB12" s="137">
        <f t="shared" si="1"/>
        <v>1269</v>
      </c>
      <c r="BC12" s="135">
        <f>IF(ISNUMBER(X12),X12," - ")</f>
        <v>134</v>
      </c>
      <c r="BD12" s="136">
        <f t="shared" si="2"/>
        <v>1.1499999999999999</v>
      </c>
      <c r="BE12" s="137">
        <f t="shared" si="3"/>
        <v>3.4483695652173911</v>
      </c>
      <c r="BF12" s="137">
        <f t="shared" si="4"/>
        <v>0.3641304347826087</v>
      </c>
      <c r="BG12" s="209">
        <f t="shared" si="5"/>
        <v>4.4483695652173916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1344</v>
      </c>
      <c r="J14" s="197">
        <f t="shared" si="7"/>
        <v>469</v>
      </c>
      <c r="K14" s="197">
        <f t="shared" si="7"/>
        <v>294</v>
      </c>
      <c r="L14" s="197">
        <f t="shared" si="7"/>
        <v>1519</v>
      </c>
      <c r="M14" s="197">
        <f t="shared" si="7"/>
        <v>75</v>
      </c>
      <c r="N14" s="197">
        <f t="shared" si="7"/>
        <v>112</v>
      </c>
      <c r="O14" s="197">
        <f t="shared" si="7"/>
        <v>211</v>
      </c>
      <c r="P14" s="197">
        <f t="shared" si="7"/>
        <v>123</v>
      </c>
      <c r="Q14" s="197">
        <f t="shared" si="7"/>
        <v>741</v>
      </c>
      <c r="R14" s="197">
        <f t="shared" si="7"/>
        <v>1694</v>
      </c>
      <c r="S14" s="197">
        <f t="shared" si="7"/>
        <v>1318</v>
      </c>
      <c r="T14" s="197">
        <f t="shared" si="7"/>
        <v>308</v>
      </c>
      <c r="U14" s="197">
        <f t="shared" si="7"/>
        <v>362</v>
      </c>
      <c r="V14" s="197">
        <f t="shared" si="7"/>
        <v>1264</v>
      </c>
      <c r="W14" s="197">
        <f t="shared" si="7"/>
        <v>78</v>
      </c>
      <c r="X14" s="197">
        <f t="shared" si="7"/>
        <v>139</v>
      </c>
      <c r="Y14" s="197">
        <f t="shared" si="7"/>
        <v>11</v>
      </c>
      <c r="Z14" s="197">
        <f t="shared" si="7"/>
        <v>14</v>
      </c>
      <c r="AA14" s="197">
        <f t="shared" si="7"/>
        <v>20</v>
      </c>
      <c r="AB14" s="197">
        <f t="shared" si="7"/>
        <v>5</v>
      </c>
      <c r="AC14" s="197">
        <f t="shared" si="7"/>
        <v>0</v>
      </c>
      <c r="AD14" s="197">
        <f t="shared" si="7"/>
        <v>0</v>
      </c>
      <c r="AE14" s="197">
        <f t="shared" si="7"/>
        <v>0</v>
      </c>
      <c r="AF14" s="197">
        <f>SUBTOTAL(9,AF9:AF13)</f>
        <v>0</v>
      </c>
      <c r="AG14" s="197">
        <f t="shared" ref="AG14:AT14" si="8">SUBTOTAL(9,AG8:AG13)</f>
        <v>13</v>
      </c>
      <c r="AH14" s="197">
        <f t="shared" si="8"/>
        <v>16</v>
      </c>
      <c r="AI14" s="197">
        <f t="shared" si="8"/>
        <v>12</v>
      </c>
      <c r="AJ14" s="197">
        <f t="shared" si="8"/>
        <v>17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1331</v>
      </c>
      <c r="AZ14" s="197">
        <f>SUBTOTAL(9,AZ8:AZ13)</f>
        <v>324</v>
      </c>
      <c r="BA14" s="197">
        <f>SUBTOTAL(9,BA8:BA13)</f>
        <v>374</v>
      </c>
      <c r="BB14" s="197">
        <f>SUBTOTAL(9,BB8:BB13)</f>
        <v>1281</v>
      </c>
      <c r="BC14" s="197">
        <f>SUBTOTAL(9,BC8:BC13)</f>
        <v>136</v>
      </c>
      <c r="BD14" s="219">
        <f>IF(ISNUMBER(BA14/AZ14),BA14/AZ14," - ")</f>
        <v>1.154320987654321</v>
      </c>
      <c r="BE14" s="220">
        <f>IF(ISNUMBER(BB14/BA14),BB14/BA14, " - ")</f>
        <v>3.4251336898395723</v>
      </c>
      <c r="BF14" s="220">
        <f>IF(ISNUMBER(BC14/BA14),BC14/BA14, " - ")</f>
        <v>0.36363636363636365</v>
      </c>
      <c r="BG14" s="221">
        <f>IF(ISNUMBER((AY14+AZ14)/BA14),(AY14+AZ14)/BA14," - ")</f>
        <v>4.4251336898395719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806</v>
      </c>
      <c r="J17" s="196">
        <v>476</v>
      </c>
      <c r="K17" s="196">
        <v>390</v>
      </c>
      <c r="L17" s="196">
        <v>894</v>
      </c>
      <c r="M17" s="196">
        <v>100</v>
      </c>
      <c r="N17" s="196">
        <v>210</v>
      </c>
      <c r="O17" s="194">
        <v>0</v>
      </c>
      <c r="P17" s="196">
        <v>8</v>
      </c>
      <c r="Q17" s="196">
        <v>40</v>
      </c>
      <c r="R17" s="196">
        <v>89</v>
      </c>
      <c r="S17" s="196">
        <v>567</v>
      </c>
      <c r="T17" s="196">
        <v>393</v>
      </c>
      <c r="U17" s="196">
        <v>354</v>
      </c>
      <c r="V17" s="196">
        <v>610</v>
      </c>
      <c r="W17" s="196">
        <v>70</v>
      </c>
      <c r="X17" s="202">
        <v>199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567</v>
      </c>
      <c r="AZ17" s="137">
        <f t="shared" si="10"/>
        <v>393</v>
      </c>
      <c r="BA17" s="137">
        <f t="shared" si="10"/>
        <v>354</v>
      </c>
      <c r="BB17" s="137">
        <f t="shared" si="10"/>
        <v>610</v>
      </c>
      <c r="BC17" s="135">
        <f>IF(ISNUMBER(W17),W17," - ")</f>
        <v>70</v>
      </c>
      <c r="BD17" s="136">
        <f t="shared" ref="BD17:BD22" si="12">IF(ISNUMBER(BA17/AZ17),BA17/AZ17," - ")</f>
        <v>0.9007633587786259</v>
      </c>
      <c r="BE17" s="137">
        <f t="shared" ref="BE17:BE22" si="13">IF(ISNUMBER(BB17/BA17),BB17/BA17, " - ")</f>
        <v>1.7231638418079096</v>
      </c>
      <c r="BF17" s="137">
        <f t="shared" ref="BF17:BF22" si="14">IF(ISNUMBER(BC17/BA17),BC17/BA17, " - ")</f>
        <v>0.19774011299435029</v>
      </c>
      <c r="BG17" s="209">
        <f t="shared" si="11"/>
        <v>2.7118644067796609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45</v>
      </c>
      <c r="K18" s="196">
        <v>31</v>
      </c>
      <c r="L18" s="196">
        <v>19</v>
      </c>
      <c r="M18" s="196">
        <v>14</v>
      </c>
      <c r="N18" s="196">
        <v>23</v>
      </c>
      <c r="O18" s="196">
        <v>0</v>
      </c>
      <c r="P18" s="196">
        <v>3</v>
      </c>
      <c r="Q18" s="196">
        <v>0</v>
      </c>
      <c r="R18" s="196">
        <v>3</v>
      </c>
      <c r="S18" s="196">
        <v>11</v>
      </c>
      <c r="T18" s="196">
        <v>33</v>
      </c>
      <c r="U18" s="196">
        <v>33</v>
      </c>
      <c r="V18" s="196">
        <v>11</v>
      </c>
      <c r="W18" s="196">
        <v>8</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33</v>
      </c>
      <c r="BA18" s="139">
        <f t="shared" si="15"/>
        <v>33</v>
      </c>
      <c r="BB18" s="139">
        <f t="shared" si="15"/>
        <v>11</v>
      </c>
      <c r="BC18" s="135">
        <f>IF(ISNUMBER(W18),W18," - ")</f>
        <v>8</v>
      </c>
      <c r="BD18" s="136">
        <f>IF(ISNUMBER(BA18/AZ18),BA18/AZ18," - ")</f>
        <v>1</v>
      </c>
      <c r="BE18" s="137">
        <f>IF(ISNUMBER(BB18/BA18),BB18/BA18, " - ")</f>
        <v>0.33333333333333331</v>
      </c>
      <c r="BF18" s="137">
        <f>IF(ISNUMBER(BC18/BA18),BC18/BA18, " - ")</f>
        <v>0.24242424242424243</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811</v>
      </c>
      <c r="J23" s="197">
        <f t="shared" si="21"/>
        <v>521</v>
      </c>
      <c r="K23" s="197">
        <f t="shared" si="21"/>
        <v>421</v>
      </c>
      <c r="L23" s="197">
        <f t="shared" si="21"/>
        <v>913</v>
      </c>
      <c r="M23" s="197">
        <f t="shared" si="21"/>
        <v>114</v>
      </c>
      <c r="N23" s="197">
        <f t="shared" si="21"/>
        <v>233</v>
      </c>
      <c r="O23" s="197">
        <f t="shared" si="21"/>
        <v>0</v>
      </c>
      <c r="P23" s="197">
        <f t="shared" si="21"/>
        <v>11</v>
      </c>
      <c r="Q23" s="197">
        <f t="shared" si="21"/>
        <v>40</v>
      </c>
      <c r="R23" s="197">
        <f t="shared" si="21"/>
        <v>92</v>
      </c>
      <c r="S23" s="197">
        <f t="shared" si="21"/>
        <v>578</v>
      </c>
      <c r="T23" s="197">
        <f t="shared" si="21"/>
        <v>426</v>
      </c>
      <c r="U23" s="197">
        <f t="shared" si="21"/>
        <v>387</v>
      </c>
      <c r="V23" s="197">
        <f t="shared" si="21"/>
        <v>621</v>
      </c>
      <c r="W23" s="197">
        <f t="shared" si="21"/>
        <v>78</v>
      </c>
      <c r="X23" s="197">
        <f t="shared" si="21"/>
        <v>219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578</v>
      </c>
      <c r="AZ23" s="197">
        <f>SUBTOTAL(9,AZ15:AZ22)</f>
        <v>426</v>
      </c>
      <c r="BA23" s="197">
        <f>SUBTOTAL(9,BA15:BA22)</f>
        <v>387</v>
      </c>
      <c r="BB23" s="197">
        <f>SUBTOTAL(9,BB15:BB22)</f>
        <v>621</v>
      </c>
      <c r="BC23" s="197">
        <f>SUBTOTAL(9,BC15:BC22)</f>
        <v>78</v>
      </c>
      <c r="BD23" s="219">
        <f>IF(ISNUMBER(BA23/AZ23),BA23/AZ23," - ")</f>
        <v>0.90845070422535212</v>
      </c>
      <c r="BE23" s="220">
        <f>IF(ISNUMBER(BB23/BA23),BB23/BA23, " - ")</f>
        <v>1.6046511627906976</v>
      </c>
      <c r="BF23" s="220">
        <f>IF(ISNUMBER(BC23/BA23),BC23/BA23, " - ")</f>
        <v>0.20155038759689922</v>
      </c>
      <c r="BG23" s="221">
        <f>IF(ISNUMBER((AY23+AZ23)/BA23),(AY23+AZ23)/BA23," - ")</f>
        <v>2.594315245478036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2155</v>
      </c>
      <c r="J31" s="144">
        <f t="shared" si="36"/>
        <v>990</v>
      </c>
      <c r="K31" s="144">
        <f t="shared" si="36"/>
        <v>715</v>
      </c>
      <c r="L31" s="144">
        <f t="shared" si="36"/>
        <v>2432</v>
      </c>
      <c r="M31" s="144">
        <f t="shared" si="36"/>
        <v>189</v>
      </c>
      <c r="N31" s="144">
        <f t="shared" si="36"/>
        <v>345</v>
      </c>
      <c r="O31" s="144">
        <f t="shared" si="36"/>
        <v>211</v>
      </c>
      <c r="P31" s="144">
        <f t="shared" si="36"/>
        <v>134</v>
      </c>
      <c r="Q31" s="144">
        <f t="shared" si="36"/>
        <v>781</v>
      </c>
      <c r="R31" s="144">
        <f t="shared" si="36"/>
        <v>1786</v>
      </c>
      <c r="S31" s="144">
        <f t="shared" si="36"/>
        <v>1896</v>
      </c>
      <c r="T31" s="144">
        <f t="shared" si="36"/>
        <v>734</v>
      </c>
      <c r="U31" s="144">
        <f t="shared" si="36"/>
        <v>749</v>
      </c>
      <c r="V31" s="144">
        <f t="shared" si="36"/>
        <v>1885</v>
      </c>
      <c r="W31" s="144">
        <f t="shared" si="36"/>
        <v>156</v>
      </c>
      <c r="X31" s="144">
        <f t="shared" si="36"/>
        <v>358</v>
      </c>
      <c r="Y31" s="144">
        <f t="shared" si="36"/>
        <v>11</v>
      </c>
      <c r="Z31" s="144">
        <f t="shared" si="36"/>
        <v>14</v>
      </c>
      <c r="AA31" s="144">
        <f t="shared" si="36"/>
        <v>20</v>
      </c>
      <c r="AB31" s="144">
        <f t="shared" si="36"/>
        <v>5</v>
      </c>
      <c r="AC31" s="144">
        <f t="shared" si="36"/>
        <v>0</v>
      </c>
      <c r="AD31" s="144">
        <f t="shared" si="36"/>
        <v>0</v>
      </c>
      <c r="AE31" s="144">
        <f t="shared" si="36"/>
        <v>0</v>
      </c>
      <c r="AF31" s="144">
        <f t="shared" si="36"/>
        <v>0</v>
      </c>
      <c r="AG31" s="144">
        <f t="shared" si="36"/>
        <v>13</v>
      </c>
      <c r="AH31" s="144">
        <f t="shared" si="36"/>
        <v>16</v>
      </c>
      <c r="AI31" s="144">
        <f t="shared" si="36"/>
        <v>12</v>
      </c>
      <c r="AJ31" s="144">
        <f t="shared" si="36"/>
        <v>17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1909</v>
      </c>
      <c r="AZ31" s="144">
        <f>SUBTOTAL(9,AZ9:AZ30)</f>
        <v>750</v>
      </c>
      <c r="BA31" s="144">
        <f>SUBTOTAL(9,BA9:BA30)</f>
        <v>761</v>
      </c>
      <c r="BB31" s="144">
        <f>SUBTOTAL(9,BB9:BB30)</f>
        <v>1902</v>
      </c>
      <c r="BC31" s="145">
        <f>SUBTOTAL(9,BC9:BC30)</f>
        <v>214</v>
      </c>
      <c r="BD31" s="227">
        <f>IF(ISNUMBER(BA31/AZ31),BA31/AZ31," - ")</f>
        <v>1.0146666666666666</v>
      </c>
      <c r="BE31" s="224">
        <f>IF(ISNUMBER(BB31/BA31),BB31/BA31, " - ")</f>
        <v>2.4993429697766096</v>
      </c>
      <c r="BF31" s="224">
        <f>IF(ISNUMBER(BC31/BA31),BC31/BA31, " - ")</f>
        <v>0.2812089356110381</v>
      </c>
      <c r="BG31" s="145">
        <f>IF(ISNUMBER((AY31+AZ31)/BA31),(AY31+AZ31)/BA31," - ")</f>
        <v>3.4940867279894876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ZPUlHwMnllBQOiFFZrBEe78RkXEe1iJQgjfc3r6Y31f6QtJ9cswHOdlqRmLmuw5VGcsqoJW+f6Z6hf0bCtndw==" saltValue="iE+epBvnejj/LjnCZo0t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hVyIt3jWYViss+bEXFKp3yncQ55ncpWXIl6FLIroBuBweM6KyzDVZ9vltqfdxIbQsNwifNP5KB2Ryuk5hpVfA==" saltValue="lfy+Rpq2WiZJ82mKgypf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CERVERA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15</v>
      </c>
      <c r="AD10" s="549"/>
      <c r="AE10" s="563"/>
      <c r="AF10" s="551">
        <f>IF(ISNUMBER(Datos!L10),Datos!L10,"-")</f>
        <v>19</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-0.55555555555555558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123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1682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v>
      </c>
      <c r="BD12" s="693">
        <f>IF(ISNUMBER(Datos!N12),Datos!N12," - ")</f>
        <v>112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0.6555323590814196</v>
      </c>
      <c r="BH12" s="764">
        <f>IF(ISNUMBER(((IF(J_V="SI",Datos!L12/Datos!K12,(Datos!L12+Datos!AB12)/(Datos!K12+Datos!AA12)))*11)/factor_trimestre),((IF(J_V="SI",Datos!L12/Datos!K12,(Datos!L12+Datos!AB12)/(Datos!K12+Datos!AA12)))*11)/factor_trimestre," - ")</f>
        <v>9.5859872611464976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-0.26389496717724287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123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741</v>
      </c>
      <c r="AD14" s="1198">
        <f t="shared" si="2"/>
        <v>0</v>
      </c>
      <c r="AE14" s="1198">
        <f t="shared" si="2"/>
        <v>0</v>
      </c>
      <c r="AF14" s="1198">
        <f t="shared" si="2"/>
        <v>19</v>
      </c>
      <c r="AG14" s="1198">
        <f t="shared" si="2"/>
        <v>0</v>
      </c>
      <c r="AH14" s="1198">
        <f t="shared" si="2"/>
        <v>5</v>
      </c>
      <c r="AI14" s="1198">
        <f t="shared" si="2"/>
        <v>0</v>
      </c>
      <c r="AJ14" s="1198">
        <f t="shared" si="2"/>
        <v>0</v>
      </c>
      <c r="AK14" s="1198">
        <f t="shared" si="2"/>
        <v>0</v>
      </c>
      <c r="AL14" s="1198">
        <f t="shared" si="2"/>
        <v>0</v>
      </c>
      <c r="AM14" s="1198">
        <f t="shared" si="2"/>
        <v>1694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75</v>
      </c>
      <c r="BD14" s="1198">
        <f t="shared" si="2"/>
        <v>112</v>
      </c>
      <c r="BE14" s="1198">
        <f t="shared" si="2"/>
        <v>0</v>
      </c>
      <c r="BF14" s="1198">
        <f t="shared" si="2"/>
        <v>0</v>
      </c>
      <c r="BG14" s="1198">
        <f>IF(ISNUMBER(Datos!K14/Datos!J14),Datos!K14/Datos!J14," - ")</f>
        <v>0.62686567164179108</v>
      </c>
      <c r="BH14" s="1202">
        <f>IF(ISNUMBER(((Datos!L14/Datos!K14)*11)/factor_trimestre),((Datos!L14/Datos!K14)*11)/factor_trimestre," - ")</f>
        <v>10.333333333333334</v>
      </c>
      <c r="BI14" s="1198">
        <f>IF(ISNUMBER('Resol  Asuntos'!D14/NºAsuntos!G14),'Resol  Asuntos'!D14/NºAsuntos!G14," - ")</f>
        <v>0.23885350318471338</v>
      </c>
      <c r="BJ14" s="1198" t="str">
        <f>IF(ISNUMBER(Datos!CI14/Datos!CJ14),Datos!CI14/Datos!CJ14," - ")</f>
        <v xml:space="preserve"> - </v>
      </c>
      <c r="BK14" s="1198">
        <f>SUBTOTAL(9,BK8:BK13)</f>
        <v>0</v>
      </c>
      <c r="BL14" s="1198">
        <f>IF(ISNUMBER((I14-AB14+L14)/(F14)),(I14-AB14+L14)/(F14)," - ")</f>
        <v>0</v>
      </c>
      <c r="BM14" s="1203">
        <f>SUBTOTAL(9,BM9:BM13)</f>
        <v>-0.81945052273279839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808</v>
      </c>
      <c r="G17" s="743">
        <f>IF(ISNUMBER(IF(D_I="SI",Datos!I17,Datos!I17+Datos!AC17)),IF(D_I="SI",Datos!I17,Datos!I17+Datos!AC17)," - ")</f>
        <v>806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390</v>
      </c>
      <c r="AC17" s="240">
        <f>IF(ISNUMBER(Datos!Q17),Datos!Q17," - ")</f>
        <v>40</v>
      </c>
      <c r="AD17" s="374"/>
      <c r="AE17" s="562"/>
      <c r="AF17" s="741">
        <f>IF(ISNUMBER(IF(D_I="SI",Datos!L17,Datos!L17+Datos!AF17)),IF(D_I="SI",Datos!L17,Datos!L17+Datos!AF17)," - ")</f>
        <v>894</v>
      </c>
      <c r="AG17" s="374"/>
      <c r="AH17" s="374"/>
      <c r="AI17" s="374"/>
      <c r="AJ17" s="549"/>
      <c r="AK17" s="374"/>
      <c r="AL17" s="545"/>
      <c r="AM17" s="375">
        <f>IF(ISNUMBER(Datos!R17),Datos!R17," - ")</f>
        <v>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100</v>
      </c>
      <c r="BD17" s="243">
        <f>IF(ISNUMBER(Datos!N17),Datos!N17," - ")</f>
        <v>210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0.81932773109243695</v>
      </c>
      <c r="BH17" s="764">
        <f>IF(ISNUMBER(((IF(D_I="SI",Datos!L17/Datos!K17,(Datos!L17+Datos!AF17)/(Datos!K17+Datos!AE17)))*11)/factor_trimestre),((IF(D_I="SI",Datos!L17/Datos!K17,(Datos!L17+Datos!AF17)/(Datos!K17+Datos!AE17)))*11)/factor_trimestre," - ")</f>
        <v>4.5846153846153843</v>
      </c>
      <c r="BI17" s="266">
        <f>IF(ISNUMBER('Resol  Asuntos'!D17/NºAsuntos!G17),'Resol  Asuntos'!D17/NºAsuntos!G17," - ")</f>
        <v>0.25641025641025639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19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0.68888888888888888</v>
      </c>
      <c r="BH18" s="764">
        <f>IF(ISNUMBER(((IF(D_I="SI",Datos!L18/Datos!K18,(Datos!L18+Datos!AF18)/(Datos!K18+Datos!AE18)))*11)/factor_trimestre),((IF(D_I="SI",Datos!L18/Datos!K18,(Datos!L18+Datos!AF18)/(Datos!K18+Datos!AE18)))*11)/factor_trimestre," - ")</f>
        <v>1.2258064516129032</v>
      </c>
      <c r="BI18" s="763">
        <f>IF(ISNUMBER('Resol  Asuntos'!D18/NºAsuntos!G18),'Resol  Asuntos'!D18/NºAsuntos!G18," - ")</f>
        <v>0.45161290322580644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808</v>
      </c>
      <c r="G23" s="1197">
        <f>SUBTOTAL(9,G16:G22)</f>
        <v>811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421</v>
      </c>
      <c r="AC23" s="1198">
        <f t="shared" si="5"/>
        <v>40</v>
      </c>
      <c r="AD23" s="1198">
        <f t="shared" si="5"/>
        <v>0</v>
      </c>
      <c r="AE23" s="1198">
        <f t="shared" si="5"/>
        <v>0</v>
      </c>
      <c r="AF23" s="1198">
        <f t="shared" si="5"/>
        <v>913</v>
      </c>
      <c r="AG23" s="1198">
        <f t="shared" si="5"/>
        <v>0</v>
      </c>
      <c r="AH23" s="1198">
        <f t="shared" si="5"/>
        <v>0</v>
      </c>
      <c r="AI23" s="1198">
        <f t="shared" si="5"/>
        <v>0</v>
      </c>
      <c r="AJ23" s="1198">
        <f t="shared" si="5"/>
        <v>0</v>
      </c>
      <c r="AK23" s="1198">
        <f t="shared" si="5"/>
        <v>0</v>
      </c>
      <c r="AL23" s="1198">
        <f t="shared" si="5"/>
        <v>0</v>
      </c>
      <c r="AM23" s="1198">
        <f t="shared" si="5"/>
        <v>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114</v>
      </c>
      <c r="BD23" s="1198">
        <f t="shared" si="5"/>
        <v>233</v>
      </c>
      <c r="BE23" s="1198">
        <f t="shared" si="5"/>
        <v>0</v>
      </c>
      <c r="BF23" s="1198">
        <f t="shared" si="5"/>
        <v>0</v>
      </c>
      <c r="BG23" s="1198">
        <f>IF(ISNUMBER(Datos!K23/Datos!J23),Datos!K23/Datos!J23," - ")</f>
        <v>0.80806142034548945</v>
      </c>
      <c r="BH23" s="1202">
        <f>IF(ISNUMBER(((Datos!L23/Datos!K23)*11)/factor_trimestre),((Datos!L23/Datos!K23)*11)/factor_trimestre," - ")</f>
        <v>4.3372921615201898</v>
      </c>
      <c r="BI23" s="1198">
        <f>SUBTOTAL(9,BI16:BI22)</f>
        <v>0.70802315963606288</v>
      </c>
      <c r="BJ23" s="1198">
        <f>SUBTOTAL(9,BJ16:BJ22)</f>
        <v>0</v>
      </c>
      <c r="BK23" s="1198">
        <f>SUBTOTAL(9,BK16:BK22)</f>
        <v>0</v>
      </c>
      <c r="BL23" s="1198">
        <f>IF(ISNUMBER((I23-AB23+L23)/(F23)),(I23-AB23+L23)/(F23)," - ")</f>
        <v>-0.52103960396039606</v>
      </c>
      <c r="BM23" s="1205">
        <f>IF(ISNUMBER((Datos!P23-Datos!Q23)/(Datos!R23-Datos!P23+Datos!Q23)),(Datos!P23-Datos!Q23)/(Datos!R23-Datos!P23+Datos!Q23)," - ")</f>
        <v>-0.23966942148760331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823</v>
      </c>
      <c r="G31" s="1117">
        <f t="shared" si="18"/>
        <v>826</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134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421</v>
      </c>
      <c r="AC31" s="1118">
        <f t="shared" si="19"/>
        <v>781</v>
      </c>
      <c r="AD31" s="1118">
        <f t="shared" si="19"/>
        <v>0</v>
      </c>
      <c r="AE31" s="1118">
        <f t="shared" si="19"/>
        <v>0</v>
      </c>
      <c r="AF31" s="1125">
        <f t="shared" si="19"/>
        <v>932</v>
      </c>
      <c r="AG31" s="1125">
        <f t="shared" si="19"/>
        <v>0</v>
      </c>
      <c r="AH31" s="1125">
        <f t="shared" si="19"/>
        <v>5</v>
      </c>
      <c r="AI31" s="1125">
        <f t="shared" si="19"/>
        <v>0</v>
      </c>
      <c r="AJ31" s="1118">
        <f t="shared" si="19"/>
        <v>0</v>
      </c>
      <c r="AK31" s="1125">
        <f t="shared" si="19"/>
        <v>0</v>
      </c>
      <c r="AL31" s="1125">
        <f t="shared" si="19"/>
        <v>0</v>
      </c>
      <c r="AM31" s="1125">
        <f t="shared" si="19"/>
        <v>1786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189</v>
      </c>
      <c r="BD31" s="1117">
        <f t="shared" si="19"/>
        <v>345</v>
      </c>
      <c r="BE31" s="1117">
        <f t="shared" si="19"/>
        <v>0</v>
      </c>
      <c r="BF31" s="1127">
        <f t="shared" si="19"/>
        <v>0</v>
      </c>
      <c r="BG31" s="1223">
        <f>IF(ISNUMBER(Datos!K31/Datos!J31),Datos!K31/Datos!J31," - ")</f>
        <v>0.72222222222222221</v>
      </c>
      <c r="BH31" s="1223">
        <f>IF(ISNUMBER(((Datos!L31/Datos!K31)*11)/factor_trimestre),((Datos!L31/Datos!K31)*11)/factor_trimestre," - ")</f>
        <v>6.802797202797203</v>
      </c>
      <c r="BI31" s="1103">
        <f>IF(ISNUMBER(Datos!J31/Datos!I31),Datos!J31/Datos!I31," - ")</f>
        <v>0.45939675174013922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-0.51154313487241798</v>
      </c>
      <c r="BM31" s="1188">
        <f>IF(ISNUMBER((Datos!P31-Datos!Q31+R31)/(Datos!R31-Datos!P31+Datos!Q31-R31)),(Datos!P31-Datos!Q31+R31)/(Datos!R31-Datos!P31+Datos!Q31-R31)," - ")</f>
        <v>-0.26592683929305383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413.43084871192985</v>
      </c>
      <c r="G33" s="674">
        <f>IF(ISNUMBER(STDEV(G8:G30)),STDEV(G8:G30),"-")</f>
        <v>391.14362238611704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195.37205044539533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48.67017273737288</v>
      </c>
      <c r="BD33" s="673"/>
      <c r="BE33" s="673">
        <f>IF(ISNUMBER(STDEV(BE8:BE30)),STDEV(BE8:BE30),"-")</f>
        <v>0</v>
      </c>
      <c r="BF33" s="678">
        <f>IF(ISNUMBER(STDEV(BF8:BF30)),STDEV(BF8:BF30),"-")</f>
        <v>0</v>
      </c>
      <c r="BG33" s="1052">
        <f>IF(ISNUMBER(STDEV(BG8:BG30)),STDEV(BG8:BG30),"-")</f>
        <v>0.30433559039877051</v>
      </c>
      <c r="BH33" s="1058">
        <f>IF(ISNUMBER(STDEV(BH8:BH30)),STDEV(BH8:BH30),"-")</f>
        <v>3.8469799418063761</v>
      </c>
      <c r="BI33" s="273">
        <f>IF(ISNUMBER(STDEV(BI8:BI30)),STDEV(BI8:BI30),"-")</f>
        <v>0.21861295244117276</v>
      </c>
      <c r="BJ33" s="244" t="str">
        <f>IF(ISNUMBER(BL33/BM33),BL33/BM33," - ")</f>
        <v xml:space="preserve"> - </v>
      </c>
      <c r="BK33" s="709"/>
      <c r="BL33" s="681">
        <f>IF(ISNUMBER(STDEV(BL8:BL30)),STDEV(BL8:BL30),"-")</f>
        <v>0.36843063722714914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zl3AZK5QM+Xt2tlOVShhE3d5wh/lRrEoAsbGH9AI8rI5jqZGG3P82xZtFJMPZCwH27vdmki0mADVASjaINr0A==" saltValue="5iWOKZiKP1PqbfIh3her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CERVERA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15</v>
      </c>
      <c r="AA10" s="551">
        <f>IF(ISNUMBER(Datos!L10),Datos!L10,"-")</f>
        <v>19</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-0.55555555555555558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726</v>
      </c>
      <c r="AA12" s="551" t="str">
        <f>IF(ISNUMBER(IF(J_V="SI",Datos!L12,Datos!L12+Datos!AB12)-IF(Monitorios="SI",Datos!CD12,0)),
                          IF(J_V="SI",Datos!L12,Datos!L12+Datos!AB12)-IF(Monitorios="SI",Datos!CD12,0),
                          " - ")</f>
        <v xml:space="preserve"> - </v>
      </c>
      <c r="AB12" s="549"/>
      <c r="AC12" s="549"/>
      <c r="AD12" s="563"/>
      <c r="AE12" s="563">
        <f>IF(ISNUMBER(Datos!R12),Datos!R12," - ")</f>
        <v>1682</v>
      </c>
      <c r="AF12" s="693" t="str">
        <f>IF(ISNUMBER(Datos!BV12),Datos!BV12," - ")</f>
        <v xml:space="preserve"> - </v>
      </c>
      <c r="AG12" s="552" t="str">
        <f>IF(ISNUMBER(Datos!DV12),Datos!DV12," - ")</f>
        <v xml:space="preserve"> - </v>
      </c>
      <c r="AH12" s="553"/>
      <c r="AI12" s="554"/>
      <c r="AJ12" s="552">
        <f>IF(ISNUMBER(Datos!M12),Datos!M12," - ")</f>
        <v>75</v>
      </c>
      <c r="AK12" s="693">
        <f>IF(ISNUMBER(Datos!N12),Datos!N12," - ")</f>
        <v>112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9.5859872611464976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-0.26389496717724287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741</v>
      </c>
      <c r="AA14" s="1199">
        <f t="shared" si="3"/>
        <v>19</v>
      </c>
      <c r="AB14" s="1199">
        <f t="shared" si="3"/>
        <v>0</v>
      </c>
      <c r="AC14" s="1199">
        <f t="shared" si="3"/>
        <v>0</v>
      </c>
      <c r="AD14" s="1199">
        <f t="shared" si="3"/>
        <v>0</v>
      </c>
      <c r="AE14" s="1199">
        <f t="shared" si="3"/>
        <v>1694</v>
      </c>
      <c r="AF14" s="1211">
        <f t="shared" si="3"/>
        <v>0</v>
      </c>
      <c r="AG14" s="1211">
        <f t="shared" si="3"/>
        <v>0</v>
      </c>
      <c r="AH14" s="1211">
        <f t="shared" si="3"/>
        <v>0</v>
      </c>
      <c r="AI14" s="1211">
        <f t="shared" si="3"/>
        <v>0</v>
      </c>
      <c r="AJ14" s="1211">
        <f t="shared" si="3"/>
        <v>75</v>
      </c>
      <c r="AK14" s="1211">
        <f t="shared" si="3"/>
        <v>112</v>
      </c>
      <c r="AL14" s="1211">
        <f t="shared" si="3"/>
        <v>0</v>
      </c>
      <c r="AM14" s="1211">
        <f t="shared" si="3"/>
        <v>0</v>
      </c>
      <c r="AN14" s="1211">
        <f t="shared" si="3"/>
        <v>0</v>
      </c>
      <c r="AO14" s="1203">
        <f>IF(ISNUMBER(((NºAsuntos!I14/NºAsuntos!G14)*11)/factor_trimestre),((NºAsuntos!I14/NºAsuntos!G14)*11)/factor_trimestre," - ")</f>
        <v>9.7070063694267521</v>
      </c>
      <c r="AP14" s="1213" t="str">
        <f>IF(ISNUMBER(Datos!CI14/Datos!CJ14),Datos!CI14/Datos!CJ14," - ")</f>
        <v xml:space="preserve"> - </v>
      </c>
      <c r="AQ14" s="1236">
        <f t="shared" ref="AQ14:AV14" si="4">SUBTOTAL(9,AQ9:AQ13)</f>
        <v>0</v>
      </c>
      <c r="AR14" s="1236">
        <f t="shared" si="4"/>
        <v>-0.81945052273279839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808</v>
      </c>
      <c r="G17" s="552">
        <f>IF(ISNUMBER(IF(D_I="SI",Datos!I17,Datos!I17+Datos!AC17)),IF(D_I="SI",Datos!I17,Datos!I17+Datos!AC17)," - ")</f>
        <v>806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390</v>
      </c>
      <c r="Z17" s="805">
        <f>IF(ISNUMBER(Datos!Q17),Datos!Q17," - ")</f>
        <v>40</v>
      </c>
      <c r="AA17" s="551">
        <f>IF(ISNUMBER(IF(D_I="SI",Datos!L17,Datos!L17+Datos!AF17)),IF(D_I="SI",Datos!L17,Datos!L17+Datos!AF17)," - ")</f>
        <v>894</v>
      </c>
      <c r="AB17" s="549"/>
      <c r="AC17" s="549"/>
      <c r="AD17" s="563"/>
      <c r="AE17" s="563">
        <f>IF(ISNUMBER(Datos!R17),Datos!R17," - ")</f>
        <v>89</v>
      </c>
      <c r="AF17" s="693" t="str">
        <f>IF(ISNUMBER(Datos!BV17),Datos!BV17," - ")</f>
        <v xml:space="preserve"> - </v>
      </c>
      <c r="AG17" s="552"/>
      <c r="AH17" s="553"/>
      <c r="AI17" s="554"/>
      <c r="AJ17" s="552">
        <f>IF(ISNUMBER(Datos!M17),Datos!M17," - ")</f>
        <v>100</v>
      </c>
      <c r="AK17" s="693">
        <f>IF(ISNUMBER(Datos!N17),Datos!N17," - ")</f>
        <v>210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4.5846153846153843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19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14</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1.2258064516129032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808</v>
      </c>
      <c r="G23" s="1197">
        <f>SUBTOTAL(9,G16:G22)</f>
        <v>811</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421</v>
      </c>
      <c r="Z23" s="1240">
        <f t="shared" si="6"/>
        <v>40</v>
      </c>
      <c r="AA23" s="1240">
        <f t="shared" si="6"/>
        <v>913</v>
      </c>
      <c r="AB23" s="1240">
        <f t="shared" si="6"/>
        <v>0</v>
      </c>
      <c r="AC23" s="1240">
        <f t="shared" si="6"/>
        <v>0</v>
      </c>
      <c r="AD23" s="1240">
        <f t="shared" si="6"/>
        <v>0</v>
      </c>
      <c r="AE23" s="1240">
        <f t="shared" si="6"/>
        <v>92</v>
      </c>
      <c r="AF23" s="1240">
        <f t="shared" si="6"/>
        <v>0</v>
      </c>
      <c r="AG23" s="1240">
        <f t="shared" si="6"/>
        <v>0</v>
      </c>
      <c r="AH23" s="1240">
        <f t="shared" si="6"/>
        <v>0</v>
      </c>
      <c r="AI23" s="1240">
        <f t="shared" si="6"/>
        <v>0</v>
      </c>
      <c r="AJ23" s="1240">
        <f t="shared" si="6"/>
        <v>114</v>
      </c>
      <c r="AK23" s="1240">
        <f t="shared" si="6"/>
        <v>233</v>
      </c>
      <c r="AL23" s="1240">
        <f t="shared" si="6"/>
        <v>0</v>
      </c>
      <c r="AM23" s="1240">
        <f t="shared" si="6"/>
        <v>0</v>
      </c>
      <c r="AN23" s="1240">
        <f t="shared" si="6"/>
        <v>0</v>
      </c>
      <c r="AO23" s="1242">
        <f>IF(ISNUMBER(((NºAsuntos!I23/NºAsuntos!G23)*11)/factor_trimestre),((NºAsuntos!I23/NºAsuntos!G23)*11)/factor_trimestre," - ")</f>
        <v>4.3372921615201898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823</v>
      </c>
      <c r="G31" s="1117">
        <f t="shared" si="12"/>
        <v>826</v>
      </c>
      <c r="H31" s="1118">
        <f t="shared" si="12"/>
        <v>0</v>
      </c>
      <c r="I31" s="1117">
        <f t="shared" si="12"/>
        <v>0</v>
      </c>
      <c r="J31" s="1119">
        <f t="shared" si="12"/>
        <v>0</v>
      </c>
      <c r="K31" s="1117">
        <f t="shared" si="12"/>
        <v>0</v>
      </c>
      <c r="L31" s="1120">
        <f t="shared" si="12"/>
        <v>0</v>
      </c>
      <c r="M31" s="1117">
        <f t="shared" si="12"/>
        <v>0</v>
      </c>
      <c r="N31" s="1118">
        <f t="shared" si="12"/>
        <v>134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421</v>
      </c>
      <c r="Z31" s="1124">
        <f t="shared" si="13"/>
        <v>781</v>
      </c>
      <c r="AA31" s="1125">
        <f t="shared" si="13"/>
        <v>932</v>
      </c>
      <c r="AB31" s="1125">
        <f t="shared" si="13"/>
        <v>0</v>
      </c>
      <c r="AC31" s="1125">
        <f t="shared" si="13"/>
        <v>0</v>
      </c>
      <c r="AD31" s="1126">
        <f t="shared" si="13"/>
        <v>0</v>
      </c>
      <c r="AE31" s="1126">
        <f t="shared" si="13"/>
        <v>1786</v>
      </c>
      <c r="AF31" s="1127">
        <f t="shared" si="13"/>
        <v>0</v>
      </c>
      <c r="AG31" s="1128">
        <f t="shared" si="13"/>
        <v>0</v>
      </c>
      <c r="AH31" s="1129">
        <f t="shared" si="13"/>
        <v>0</v>
      </c>
      <c r="AI31" s="1127">
        <f t="shared" si="13"/>
        <v>0</v>
      </c>
      <c r="AJ31" s="1117">
        <f t="shared" si="13"/>
        <v>189</v>
      </c>
      <c r="AK31" s="1117">
        <f t="shared" si="13"/>
        <v>345</v>
      </c>
      <c r="AL31" s="1117">
        <f t="shared" si="13"/>
        <v>0</v>
      </c>
      <c r="AM31" s="1130">
        <f t="shared" si="13"/>
        <v>0</v>
      </c>
      <c r="AN31" s="1120">
        <f>IF(ISNUMBER(Datos!K31/Datos!J31),Datos!K31/Datos!J31," - ")</f>
        <v>0.72222222222222221</v>
      </c>
      <c r="AO31" s="1120">
        <f>IF(ISNUMBER(FIND("06",Criterios!A8,1)),(IF(ISNUMBER(((Datos!R31/Datos!Q31)*11)/factor_trimestre),((Datos!R31/Datos!Q31)*11)/factor_trimestre," - ")),(IF(ISNUMBER(((Datos!L31/Datos!K31)*11)/factor_trimestre),((Datos!L31/Datos!K31)*11)/factor_trimestre," - ")))</f>
        <v>6.802797202797203</v>
      </c>
      <c r="AP31" s="1131" t="str">
        <f>IF(ISNUMBER(Datos!CI31/Datos!CJ31),Datos!CI31/Datos!CJ31," - ")</f>
        <v xml:space="preserve"> - </v>
      </c>
      <c r="AQ31" s="1131">
        <f>IF(OR(ISNUMBER(FIND("01",Criterios!A8,1)),ISNUMBER(FIND("02",Criterios!A8,1)),ISNUMBER(FIND("03",Criterios!A8,1)),ISNUMBER(FIND("04",Criterios!A8,1))),(J31-Y31+K31)/(F31-K31),(I31-Y31+K31)/(F31-K31))</f>
        <v>-0.51154313487241798</v>
      </c>
      <c r="AR31" s="1131">
        <f>IF(ISNUMBER((Datos!P31-Datos!Q31+O31)/(Datos!R31-Datos!P31+Datos!Q31-O31)),(Datos!P31-Datos!Q31+O31)/(Datos!R31-Datos!P31+Datos!Q31-O31)," - ")</f>
        <v>-0.26592683929305383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413.43084871192985</v>
      </c>
      <c r="G33" s="674">
        <f>IF(ISNUMBER(STDEV(G8:G30)),STDEV(G8:G30),"-")</f>
        <v>391.14362238611704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48.67017273737288</v>
      </c>
      <c r="AK33" s="276"/>
      <c r="AL33" s="276">
        <f>IF(ISNUMBER(STDEV(AL8:AL30)),STDEV(AL8:AL30),"-")</f>
        <v>0</v>
      </c>
      <c r="AM33" s="278">
        <f>IF(ISNUMBER(STDEV(AM8:AM30)),STDEV(AM8:AM30),"-")</f>
        <v>0</v>
      </c>
      <c r="AN33" s="660">
        <f>IF(ISNUMBER(STDEV(AN8:AN30)),STDEV(AN8:AN30),"-")</f>
        <v>0</v>
      </c>
      <c r="AO33" s="661">
        <f>IF(ISNUMBER(STDEV(AO8:AO30)),STDEV(AO8:AO30),"-")</f>
        <v>3.6776172405425305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qAkFXKmMYqVUscTrxsa+oNkFIBcW6WapA1n4Fp+FOc+SXh8CITDhh3UJRxzAteu0HEc7HzvSC9qvUQCWd6pbA==" saltValue="7vIkGM6Qt+hqu5AarNQb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Jys8ALsV8z8wd9+zE++qiGi5Z7zQ9YZuqqPfLbC99iGUtIZ9RyqFsIHHuBFiJt6gDAqDSgpiERxUQ93BWpVg==" saltValue="vSaHsdQezKs8kzzL9F5S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cHy1Jl53Y4/M4PtoI4MLeCtMaGkfRHZ4GrzdIPUsABafVuPLAy3df/2VFbPDTm7VkKAtkvt2PSkdaAo2j/60w==" saltValue="T2nsEOK/FbVaLgCNIgRP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CERVERA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0.23885350318471338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0.16889493181207346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kqCqzzVkXvuV5pL7Zxezixz0+EY8PEC8Fq00Hl3HDYNg0bzUJIz4+A7pmpIXobjzXDrUZGaa/CrfHL7OT6b6A==" saltValue="4V4V5n7ylOhbod+UwiYQ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TYQnEsVGvEFxKk0znRYYV5VBeIJffC6vQvHJkacykMVCxbxAByuFpv8/tWeViInDpO56bukYjD/pfbuWNucNg==" saltValue="qElLxIhHkq7UePlWGYfB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CERVERA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4</v>
      </c>
      <c r="F10" s="452">
        <f>IF(ISNUMBER(E10/B10),E10/B10," - ")</f>
        <v>4</v>
      </c>
      <c r="G10" s="451">
        <f>IF(ISNUMBER(Datos!K10),Datos!K10," - ")</f>
        <v>0</v>
      </c>
      <c r="H10" s="452">
        <f>IF(ISNUMBER(G10/B10),G10/B10," - ")</f>
        <v>0</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1340</v>
      </c>
      <c r="D12" s="452">
        <f>IF(ISNUMBER(C12/Datos!BH12),C12/Datos!BH12," - ")</f>
        <v>670</v>
      </c>
      <c r="E12" s="451">
        <f>IF(ISNUMBER(IF(J_V="SI",Datos!J12,Datos!J12+Datos!Z12)),IF(J_V="SI",Datos!J12,Datos!J12+Datos!Z12)," - ")</f>
        <v>479</v>
      </c>
      <c r="F12" s="452">
        <f>IF(ISNUMBER(E12/B12),E12/B12," - ")</f>
        <v>239.5</v>
      </c>
      <c r="G12" s="451">
        <f>IF(ISNUMBER(IF(J_V="SI",Datos!K12,Datos!K12+Datos!AA12)),IF(J_V="SI",Datos!K12,Datos!K12+Datos!AA12)," - ")</f>
        <v>314</v>
      </c>
      <c r="H12" s="452">
        <f>IF(ISNUMBER(G12/B12),G12/B12," - ")</f>
        <v>157</v>
      </c>
      <c r="I12" s="451">
        <f>IF(ISNUMBER(IF(J_V="SI",Datos!L12,Datos!L12+Datos!AB12)),IF(J_V="SI",Datos!L12,Datos!L12+Datos!AB12)," - ")</f>
        <v>1505</v>
      </c>
      <c r="J12" s="452">
        <f>IF(ISNUMBER(I12/B12),I12/B12," - ")</f>
        <v>752.5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1355</v>
      </c>
      <c r="D14" s="1147" t="str">
        <f>IF(ISNUMBER(C14/Datos!BI14),C14/Datos!BI14," - ")</f>
        <v xml:space="preserve"> - </v>
      </c>
      <c r="E14" s="1146">
        <f>SUBTOTAL(9,E8:E13)</f>
        <v>483</v>
      </c>
      <c r="F14" s="1147">
        <f>IF(ISNUMBER(E14/B14),E14/B14," - ")</f>
        <v>241.5</v>
      </c>
      <c r="G14" s="1146">
        <f>SUBTOTAL(9,G8:G13)</f>
        <v>314</v>
      </c>
      <c r="H14" s="1147">
        <f>IF(ISNUMBER(G14/B14),G14/B14," - ")</f>
        <v>157</v>
      </c>
      <c r="I14" s="1146">
        <f>SUBTOTAL(9,I8:I13)</f>
        <v>1524</v>
      </c>
      <c r="J14" s="1147">
        <f>IF(ISNUMBER(I14/B14),I14/B14," - ")</f>
        <v>762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806</v>
      </c>
      <c r="D17" s="452">
        <f>IF(ISNUMBER(C17/Datos!BH17),C17/Datos!BH17," - ")</f>
        <v>403</v>
      </c>
      <c r="E17" s="451">
        <f>IF(ISNUMBER(IF(D_I="SI",Datos!J17,Datos!J17+Datos!AD17)),IF(D_I="SI",Datos!J17,Datos!J17+Datos!AD17)," - ")</f>
        <v>476</v>
      </c>
      <c r="F17" s="452">
        <f>IF(ISNUMBER(E17/B17),E17/B17," - ")</f>
        <v>238</v>
      </c>
      <c r="G17" s="451">
        <f>IF(ISNUMBER(IF(D_I="SI",Datos!K17,Datos!K17+Datos!AE17)),IF(D_I="SI",Datos!K17,Datos!K17+Datos!AE17)," - ")</f>
        <v>390</v>
      </c>
      <c r="H17" s="452">
        <f>IF(ISNUMBER(G17/B17),G17/B17," - ")</f>
        <v>195</v>
      </c>
      <c r="I17" s="451">
        <f>IF(ISNUMBER(IF(D_I="SI",Datos!L17,Datos!L17+Datos!AF17)),IF(D_I="SI",Datos!L17,Datos!L17+Datos!AF17)," - ")</f>
        <v>894</v>
      </c>
      <c r="J17" s="452">
        <f>IF(ISNUMBER(I17/B17),I17/B17," - ")</f>
        <v>447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45</v>
      </c>
      <c r="F18" s="452">
        <f>IF(ISNUMBER(E18/B18),E18/B18," - ")</f>
        <v>45</v>
      </c>
      <c r="G18" s="451">
        <f>IF(ISNUMBER(IF(D_I="SI",Datos!K18,Datos!K18+Datos!AE18)),IF(D_I="SI",Datos!K18,Datos!K18+Datos!AE18)," - ")</f>
        <v>31</v>
      </c>
      <c r="H18" s="452">
        <f>IF(ISNUMBER(G18/B18),G18/B18," - ")</f>
        <v>31</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811</v>
      </c>
      <c r="D23" s="1147" t="str">
        <f>IF(ISNUMBER(C23/Datos!BI23),C23/Datos!BI23," - ")</f>
        <v xml:space="preserve"> - </v>
      </c>
      <c r="E23" s="1146">
        <f>SUBTOTAL(9,E15:E22)</f>
        <v>521</v>
      </c>
      <c r="F23" s="1147">
        <f>IF(ISNUMBER(E23/B23),E23/B23," - ")</f>
        <v>260.5</v>
      </c>
      <c r="G23" s="1146">
        <f>SUBTOTAL(9,G15:G22)</f>
        <v>421</v>
      </c>
      <c r="H23" s="1147">
        <f>IF(ISNUMBER(G23/B23),G23/B23," - ")</f>
        <v>210.5</v>
      </c>
      <c r="I23" s="1146">
        <f>SUBTOTAL(9,I15:I22)</f>
        <v>913</v>
      </c>
      <c r="J23" s="1147">
        <f>IF(ISNUMBER(I23/B23),I23/B23," - ")</f>
        <v>456.5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2166</v>
      </c>
      <c r="D31" s="1085" t="str">
        <f>IF(ISNUMBER(C31/Datos!BI31),C31/Datos!BI31," - ")</f>
        <v xml:space="preserve"> - </v>
      </c>
      <c r="E31" s="1084">
        <f>SUBTOTAL(9,E9:E30)</f>
        <v>1004</v>
      </c>
      <c r="F31" s="1085">
        <f>IF(ISNUMBER(E31/B31),E31/B31," - ")</f>
        <v>502</v>
      </c>
      <c r="G31" s="1084">
        <f>SUBTOTAL(9,G9:G30)</f>
        <v>735</v>
      </c>
      <c r="H31" s="1085">
        <f>IF(ISNUMBER(G31/B31),G31/B31," - ")</f>
        <v>367.5</v>
      </c>
      <c r="I31" s="1084">
        <f>SUBTOTAL(9,I9:I30)</f>
        <v>2437</v>
      </c>
      <c r="J31" s="1085">
        <f>IF(ISNUMBER(I31/B31),I31/B31," - ")</f>
        <v>1218.5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Ue1S0A9jxlPZt41ArTCX7tgmdOu5EFiouo+c4zB9HEbYY15MIcNPSyzuSKgjGnvL4CMgaUQEYRKcSkP/NzMMQ==" saltValue="gQdV1o+RUfTNNeuQmGbDG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CERVERA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v>
      </c>
      <c r="AM12" s="914">
        <f>IF(ISNUMBER(Datos!N12+DatosP!N17),Datos!N12+DatosP!N17," - ")</f>
        <v>112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9.5859872611464976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-0.26389496717724287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726</v>
      </c>
      <c r="AE14" s="1257">
        <f t="shared" si="1"/>
        <v>0</v>
      </c>
      <c r="AF14" s="1257">
        <f t="shared" si="1"/>
        <v>19</v>
      </c>
      <c r="AG14" s="1257">
        <f t="shared" si="1"/>
        <v>0</v>
      </c>
      <c r="AH14" s="1257">
        <f t="shared" si="1"/>
        <v>1682</v>
      </c>
      <c r="AI14" s="1257">
        <f t="shared" si="1"/>
        <v>0</v>
      </c>
      <c r="AJ14" s="1257">
        <f t="shared" si="1"/>
        <v>0</v>
      </c>
      <c r="AK14" s="1257">
        <f t="shared" si="1"/>
        <v>0</v>
      </c>
      <c r="AL14" s="1257">
        <f t="shared" si="1"/>
        <v>75</v>
      </c>
      <c r="AM14" s="1257">
        <f t="shared" si="1"/>
        <v>112</v>
      </c>
      <c r="AN14" s="1257">
        <f t="shared" si="1"/>
        <v>0</v>
      </c>
      <c r="AO14" s="1257">
        <f t="shared" si="1"/>
        <v>0</v>
      </c>
      <c r="AP14" s="1262">
        <f>IF(ISNUMBER(((Datos!L14/Datos!K14)*11)/factor_trimestre),((Datos!L14/Datos!K14)*11)/factor_trimestre," - ")</f>
        <v>10.333333333333334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-0.26389496717724287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4.3372921615201898</v>
      </c>
      <c r="AQ23" s="1262">
        <f>IF(ISNUMBER(((Datos!M23/Datos!L23)*11)/factor_trimestre),((Datos!M23/Datos!L23)*11)/factor_trimestre," - ")</f>
        <v>0.2497261774370208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-0.23966942148760331</v>
      </c>
      <c r="AW23" s="1265">
        <f>IF(ISNUMBER((Datos!Q23-Datos!R23)/(Datos!S23-Datos!Q23+Datos!R23)),(Datos!Q23-Datos!R23)/(Datos!S23-Datos!Q23+Datos!R23)," - ")</f>
        <v>-8.2539682539682538E-2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726</v>
      </c>
      <c r="AE31" s="1284">
        <f t="shared" si="9"/>
        <v>0</v>
      </c>
      <c r="AF31" s="1285">
        <f t="shared" si="9"/>
        <v>19</v>
      </c>
      <c r="AG31" s="1285">
        <f t="shared" si="9"/>
        <v>0</v>
      </c>
      <c r="AH31" s="1285">
        <f t="shared" si="9"/>
        <v>1682</v>
      </c>
      <c r="AI31" s="1285">
        <f t="shared" si="9"/>
        <v>0</v>
      </c>
      <c r="AJ31" s="1286">
        <f t="shared" si="9"/>
        <v>0</v>
      </c>
      <c r="AK31" s="1286">
        <f t="shared" si="9"/>
        <v>0</v>
      </c>
      <c r="AL31" s="1278">
        <f t="shared" si="9"/>
        <v>75</v>
      </c>
      <c r="AM31" s="1278">
        <f t="shared" si="9"/>
        <v>112</v>
      </c>
      <c r="AN31" s="1278">
        <f t="shared" si="9"/>
        <v>0</v>
      </c>
      <c r="AO31" s="1278">
        <f t="shared" si="9"/>
        <v>0</v>
      </c>
      <c r="AP31" s="1278">
        <f>IF(ISNUMBER(((Datos!L31/Datos!K31)*11)/factor_trimestre),((Datos!L31/Datos!K31)*11)/factor_trimestre," - ")</f>
        <v>6.802797202797203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-0.26592683929305383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38.729833462074168</v>
      </c>
      <c r="AM33" s="1006"/>
      <c r="AN33" s="1006">
        <f>IF(ISNUMBER(STDEV(AN8:AN30)),STDEV(AN8:AN30),"-")</f>
        <v>0</v>
      </c>
      <c r="AO33" s="1012">
        <f>IF(ISNUMBER(STDEV(AO8:AO30)),STDEV(AO8:AO30),"-")</f>
        <v>0</v>
      </c>
      <c r="AP33" s="1065">
        <f>IF(ISNUMBER(STDEV(AP8:AP30)),STDEV(AP8:AP30),"-")</f>
        <v>3.2675127169998062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385hTUwjLWowuglir/JsSaHBrV9Es/sQeHC5XDJjKeOYprKMXuGAjS5t5rGAM4lBxboJGiplF+ERQS7Jx6EyQ==" saltValue="N0WSqWmah3pj1O5uOk4m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CERVERA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HnvrvyKYs74ZlrYBJzAGQyKU4iW8jym8qElz7kVkae81c9ZAFiO3M02loPnHITPCkGPRNx22FjVEFvVrNopVQ==" saltValue="134QZ2XxIHqLbJGw1t7L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CERVERA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75</v>
      </c>
      <c r="E12" s="452">
        <f t="shared" si="0"/>
        <v>37.5</v>
      </c>
      <c r="F12" s="451">
        <f>IF(ISNUMBER(Datos!N12),Datos!N12," - ")</f>
        <v>112</v>
      </c>
      <c r="G12" s="452">
        <f t="shared" si="1"/>
        <v>56</v>
      </c>
      <c r="H12" s="451">
        <f>IF(ISNUMBER(Datos!O12),Datos!O12," - ")</f>
        <v>211</v>
      </c>
      <c r="I12" s="452">
        <f t="shared" si="2"/>
        <v>105.5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75</v>
      </c>
      <c r="E14" s="1147">
        <f t="shared" si="0"/>
        <v>25</v>
      </c>
      <c r="F14" s="1146">
        <f>SUBTOTAL(9,F9:F13)</f>
        <v>112</v>
      </c>
      <c r="G14" s="1147">
        <f t="shared" si="1"/>
        <v>37.333333333333336</v>
      </c>
      <c r="H14" s="1146">
        <f>SUBTOTAL(9,H9:H13)</f>
        <v>211</v>
      </c>
      <c r="I14" s="1147">
        <f>IF(ISNUMBER(H14/B14),H14/B14," - ")</f>
        <v>70.333333333333329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100</v>
      </c>
      <c r="E17" s="452">
        <f t="shared" si="3"/>
        <v>50</v>
      </c>
      <c r="F17" s="451">
        <f>IF(ISNUMBER(Datos!N17),Datos!N17," - ")</f>
        <v>210</v>
      </c>
      <c r="G17" s="452">
        <f t="shared" si="4"/>
        <v>105</v>
      </c>
      <c r="H17" s="451">
        <f>IF(ISNUMBER(Datos!O17),Datos!O17," - ")</f>
        <v>0</v>
      </c>
      <c r="I17" s="452">
        <f t="shared" si="5"/>
        <v>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114</v>
      </c>
      <c r="E23" s="1147">
        <f t="shared" si="3"/>
        <v>38</v>
      </c>
      <c r="F23" s="1146">
        <f>SUBTOTAL(9,F16:F22)</f>
        <v>233</v>
      </c>
      <c r="G23" s="1147">
        <f t="shared" si="4"/>
        <v>77.666666666666671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189</v>
      </c>
      <c r="E31" s="1085">
        <f>IF(ISNUMBER(D31/B31),D31/B31," - ")</f>
        <v>94.5</v>
      </c>
      <c r="F31" s="1084">
        <f>SUBTOTAL(9,F8:F30)</f>
        <v>345</v>
      </c>
      <c r="G31" s="1085">
        <f>IF(ISNUMBER(F31/B31),F31/B31," - ")</f>
        <v>172.5</v>
      </c>
      <c r="H31" s="1084">
        <f>SUBTOTAL(9,H8:H30)</f>
        <v>211</v>
      </c>
      <c r="I31" s="1085">
        <f>IF(ISNUMBER(H31/B31),H31/B31," - ")</f>
        <v>105.5</v>
      </c>
    </row>
    <row r="34" spans="1:1">
      <c r="A34" s="439" t="str">
        <f>Criterios!A4</f>
        <v>Fecha Informe: 06 may. 2023</v>
      </c>
    </row>
    <row r="39" spans="1:1">
      <c r="A39" s="462"/>
    </row>
  </sheetData>
  <sheetProtection algorithmName="SHA-512" hashValue="rgrIRcrNleqhq4DGDrMKDxOcCDZ/LC87wQDcNR2cE4KrIenlRs9nkfK2ZVlEkcAPOnJB8I/a+fD+20nPW1vRIg==" saltValue="/nY2NAoCnxkm/iif14JV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CERVERA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15</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123</v>
      </c>
      <c r="C12" s="489">
        <f>IF(ISNUMBER(Datos!Q12),Datos!Q12," - ")</f>
        <v>726</v>
      </c>
      <c r="D12" s="456">
        <f>IF(ISNUMBER(Datos!R12),Datos!R12," - ")</f>
        <v>1682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123</v>
      </c>
      <c r="C14" s="1150">
        <f>SUBTOTAL(9,C9:C13)</f>
        <v>741</v>
      </c>
      <c r="D14" s="1148">
        <f>SUBTOTAL(9,D9:D13)</f>
        <v>1694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40</v>
      </c>
      <c r="D17" s="456">
        <f>IF(ISNUMBER(Datos!R17),Datos!R17," - ")</f>
        <v>89</v>
      </c>
    </row>
    <row r="18" spans="1:4">
      <c r="A18" s="450" t="str">
        <f>Datos!A18</f>
        <v>Jdos. Violencia contra la mujer</v>
      </c>
      <c r="B18" s="488">
        <f>IF(ISNUMBER(Datos!P18),Datos!P18," - ")</f>
        <v>3</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40</v>
      </c>
      <c r="D23" s="1148">
        <f>SUBTOTAL(9,D16:D22)</f>
        <v>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134</v>
      </c>
      <c r="C31" s="1089">
        <f>SUBTOTAL(9,C8:C30)</f>
        <v>781</v>
      </c>
      <c r="D31" s="1090">
        <f>SUBTOTAL(9,D8:D30)</f>
        <v>1786</v>
      </c>
    </row>
    <row r="32" spans="1:4" ht="7.5" customHeight="1"/>
    <row r="33" spans="1:1" ht="6" customHeight="1"/>
    <row r="34" spans="1:1">
      <c r="A34" s="439" t="str">
        <f>Criterios!A4</f>
        <v>Fecha Informe: 06 may. 2023</v>
      </c>
    </row>
    <row r="39" spans="1:1">
      <c r="A39" s="462"/>
    </row>
  </sheetData>
  <sheetProtection algorithmName="SHA-512" hashValue="xIvSwU69C8FdmqFNQRk1hupFPr+4oqjgDkJqGdc+Be5T0tyb1iExR88bC/DJxsi7DATTTne+4kpW8QMJtblP7A==" saltValue="tV3tWf/QyQrbSYJZ+tfQ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CERVERA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0</v>
      </c>
      <c r="D10" s="515">
        <f>IF(ISNUMBER((Datos!K10-Datos!U10)/Datos!U10),(Datos!K10-Datos!U10)/Datos!U10," - ")</f>
        <v>-1</v>
      </c>
      <c r="E10" s="515">
        <f>IF(ISNUMBER((Datos!L10-Datos!V10)/Datos!V10),(Datos!L10-Datos!V10)/Datos!V10," - ")</f>
        <v>0.58333333333333337</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1.7463933181473046E-2</v>
      </c>
      <c r="C12" s="515">
        <f>IF(ISNUMBER(
   IF(J_V="SI",(Datos!J12-Datos!T12)/Datos!T12,(Datos!J12+Datos!Z12-(Datos!T12+Datos!AH12))/(Datos!T12+Datos!AH12))
     ),IF(J_V="SI",(Datos!J12-Datos!T12)/Datos!T12,(Datos!J12+Datos!Z12-(Datos!T12+Datos!AH12))/(Datos!T12+Datos!AH12))," - ")</f>
        <v>0.49687500000000001</v>
      </c>
      <c r="D12" s="515">
        <f>IF(ISNUMBER(
   IF(J_V="SI",(Datos!K12-Datos!U12)/Datos!U12,(Datos!K12+Datos!AA12-(Datos!U12+Datos!AI12))/(Datos!U12+Datos!AI12))
     ),IF(J_V="SI",(Datos!K12-Datos!U12)/Datos!U12,(Datos!K12+Datos!AA12-(Datos!U12+Datos!AI12))/(Datos!U12+Datos!AI12))," - ")</f>
        <v>-0.14673913043478262</v>
      </c>
      <c r="E12" s="515">
        <f>IF(ISNUMBER(
   IF(J_V="SI",(Datos!L12-Datos!V12)/Datos!V12,(Datos!L12+Datos!AB12-(Datos!V12+Datos!AJ12))/(Datos!V12+Datos!AJ12))
     ),IF(J_V="SI",(Datos!L12-Datos!V12)/Datos!V12,(Datos!L12+Datos!AB12-(Datos!V12+Datos!AJ12))/(Datos!V12+Datos!AJ12))," - ")</f>
        <v>0.18597320724980299</v>
      </c>
      <c r="F12" s="515">
        <f>IF(ISNUMBER((Datos!M12-Datos!W12)/Datos!W12),(Datos!M12-Datos!W12)/Datos!W12," - ")</f>
        <v>-1.3157894736842105E-2</v>
      </c>
      <c r="G12" s="516">
        <f>IF(ISNUMBER((Datos!N12-Datos!X12)/Datos!X12),(Datos!N12-Datos!X12)/Datos!X12," - ")</f>
        <v>-0.16417910447761194</v>
      </c>
      <c r="H12" s="514">
        <f>IF(ISNUMBER(((NºAsuntos!G12/NºAsuntos!E12)-Datos!BD12)/Datos!BD12),((NºAsuntos!G12/NºAsuntos!E12)-Datos!BD12)/Datos!BD12," - ")</f>
        <v>-0.42997186166833073</v>
      </c>
      <c r="I12" s="515">
        <f>IF(ISNUMBER(((NºAsuntos!I12/NºAsuntos!G12)-Datos!BE12)/Datos!BE12),((NºAsuntos!I12/NºAsuntos!G12)-Datos!BE12)/Datos!BE12," - ")</f>
        <v>0.38993038301887756</v>
      </c>
      <c r="J12" s="521">
        <f>IF(ISNUMBER((('Resol  Asuntos'!D12/NºAsuntos!G12)-Datos!BF12)/Datos!BF12),(('Resol  Asuntos'!D12/NºAsuntos!G12)-Datos!BF12)/Datos!BF12," - ")</f>
        <v>-0.34404411065690654</v>
      </c>
      <c r="K12" s="522">
        <f>IF(ISNUMBER((((NºAsuntos!C12+NºAsuntos!E12)/NºAsuntos!G12)-Datos!BG12)/Datos!BG12),(((NºAsuntos!C12+NºAsuntos!E12)/NºAsuntos!G12)-Datos!BG12)/Datos!BG12," - ")</f>
        <v>0.30227346124065696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1.8031555221637866E-2</v>
      </c>
      <c r="C14" s="1152">
        <f>IF(ISNUMBER(
   IF(J_V="SI",(Datos!J14-Datos!T14)/Datos!T14,(Datos!J14+Datos!Z14-(Datos!T14+Datos!AH14))/(Datos!T14+Datos!AH14))
     ),IF(J_V="SI",(Datos!J14-Datos!T14)/Datos!T14,(Datos!J14+Datos!Z14-(Datos!T14+Datos!AH14))/(Datos!T14+Datos!AH14))," - ")</f>
        <v>0.49074074074074076</v>
      </c>
      <c r="D14" s="1152">
        <f>IF(ISNUMBER(
   IF(J_V="SI",(Datos!K14-Datos!U14)/Datos!U14,(Datos!K14+Datos!AA14-(Datos!U14+Datos!AI14))/(Datos!U14+Datos!AI14))
     ),IF(J_V="SI",(Datos!K14-Datos!U14)/Datos!U14,(Datos!K14+Datos!AA14-(Datos!U14+Datos!AI14))/(Datos!U14+Datos!AI14))," - ")</f>
        <v>-0.16042780748663102</v>
      </c>
      <c r="E14" s="1152">
        <f>IF(ISNUMBER(
   IF(J_V="SI",(Datos!L14-Datos!V14)/Datos!V14,(Datos!L14+Datos!AB14-(Datos!V14+Datos!AJ14))/(Datos!V14+Datos!AJ14))
     ),IF(J_V="SI",(Datos!L14-Datos!V14)/Datos!V14,(Datos!L14+Datos!AB14-(Datos!V14+Datos!AJ14))/(Datos!V14+Datos!AJ14))," - ")</f>
        <v>0.18969555035128804</v>
      </c>
      <c r="F14" s="1153">
        <f>IF(ISNUMBER((Datos!M14-Datos!W14)/Datos!W14),(Datos!M14-Datos!W14)/Datos!W14," - ")</f>
        <v>-3.8461538461538464E-2</v>
      </c>
      <c r="G14" s="1154">
        <f>IF(ISNUMBER((Datos!N14-Datos!X14)/Datos!X14),(Datos!N14-Datos!X14)/Datos!X14," - ")</f>
        <v>-0.19424460431654678</v>
      </c>
      <c r="H14" s="1154">
        <f>IF(ISNUMBER(((NºAsuntos!G14/NºAsuntos!E14)-Datos!BD14)/Datos!BD14),((NºAsuntos!G14/NºAsuntos!E14)-Datos!BD14)/Datos!BD14," - ")</f>
        <v>-0.43680871558109413</v>
      </c>
      <c r="I14" s="1154">
        <f>IF(ISNUMBER(((NºAsuntos!I14/NºAsuntos!G14)-Datos!BE14)/Datos!BE14),((NºAsuntos!I14/NºAsuntos!G14)-Datos!BE14)/Datos!BE14," - ")</f>
        <v>0.41702591029102465</v>
      </c>
      <c r="J14" s="1154">
        <f>IF(ISNUMBER((('Resol  Asuntos'!D14/NºAsuntos!G14)-Datos!BF14)/Datos!BF14),(('Resol  Asuntos'!D14/NºAsuntos!G14)-Datos!BF14)/Datos!BF14," - ")</f>
        <v>-0.34315286624203822</v>
      </c>
      <c r="K14" s="1154">
        <f>IF(ISNUMBER((((NºAsuntos!C14+NºAsuntos!E14)/NºAsuntos!G14)-Datos!BG14)/Datos!BG14),(((NºAsuntos!C14+NºAsuntos!E14)/NºAsuntos!G14)-Datos!BG14)/Datos!BG14," - ")</f>
        <v>0.32278561394731287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0.42151675485008816</v>
      </c>
      <c r="C17" s="515">
        <f>IF(ISNUMBER(
   IF(D_I="SI",(Datos!J17-Datos!T17)/Datos!T17,(Datos!J17+Datos!AD17-(Datos!T17+Datos!AL17))/(Datos!T17+Datos!AL17))
     ),IF(D_I="SI",(Datos!J17-Datos!T17)/Datos!T17,(Datos!J17+Datos!AD17-(Datos!T17+Datos!AL17))/(Datos!T17+Datos!AL17))," - ")</f>
        <v>0.21119592875318066</v>
      </c>
      <c r="D17" s="515">
        <f>IF(ISNUMBER(
   IF(D_I="SI",(Datos!K17-Datos!U17)/Datos!U17,(Datos!K17+Datos!AE17-(Datos!U17+Datos!AM17))/(Datos!U17+Datos!AM17))
     ),IF(D_I="SI",(Datos!K17-Datos!U17)/Datos!U17,(Datos!K17+Datos!AE17-(Datos!U17+Datos!AM17))/(Datos!U17+Datos!AM17))," - ")</f>
        <v>0.10169491525423729</v>
      </c>
      <c r="E17" s="515">
        <f>IF(ISNUMBER(
   IF(D_I="SI",(Datos!L17-Datos!V17)/Datos!V17,(Datos!L17+Datos!AF17-(Datos!V17+Datos!AN17))/(Datos!V17+Datos!AN17))
     ),IF(D_I="SI",(Datos!L17-Datos!V17)/Datos!V17,(Datos!L17+Datos!AF17-(Datos!V17+Datos!AN17))/(Datos!V17+Datos!AN17))," - ")</f>
        <v>0.46557377049180326</v>
      </c>
      <c r="F17" s="515">
        <f>IF(ISNUMBER((Datos!M17-Datos!W17)/Datos!W17),(Datos!M17-Datos!W17)/Datos!W17," - ")</f>
        <v>0.42857142857142855</v>
      </c>
      <c r="G17" s="516">
        <f>IF(ISNUMBER((Datos!N17-Datos!X17)/Datos!X17),(Datos!N17-Datos!X17)/Datos!X17," - ")</f>
        <v>5.5276381909547742E-2</v>
      </c>
      <c r="H17" s="514">
        <f>IF(ISNUMBER(((NºAsuntos!G17/NºAsuntos!E17)-Datos!BD17)/Datos!BD17),((NºAsuntos!G17/NºAsuntos!E17)-Datos!BD17)/Datos!BD17," - ")</f>
        <v>-9.0407349380430116E-2</v>
      </c>
      <c r="I17" s="515">
        <f>IF(ISNUMBER(((NºAsuntos!I17/NºAsuntos!G17)-Datos!BE17)/Datos!BE17),((NºAsuntos!I17/NºAsuntos!G17)-Datos!BE17)/Datos!BE17," - ")</f>
        <v>0.33029003783102134</v>
      </c>
      <c r="J17" s="521">
        <f>IF(ISNUMBER((('Resol  Asuntos'!D17/NºAsuntos!G17)-Datos!BF17)/Datos!BF17),(('Resol  Asuntos'!D17/NºAsuntos!G17)-Datos!BF17)/Datos!BF17," - ")</f>
        <v>0.29670329670329654</v>
      </c>
      <c r="K17" s="522">
        <f>IF(ISNUMBER((((NºAsuntos!C17+NºAsuntos!E17)/NºAsuntos!G17)-Datos!BG17)/Datos!BG17),(((NºAsuntos!C17+NºAsuntos!E17)/NºAsuntos!G17)-Datos!BG17)/Datos!BG17," - ")</f>
        <v>0.2121474358974359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-0.54545454545454541</v>
      </c>
      <c r="C18" s="515">
        <f>IF(ISNUMBER(
   IF(D_I="SI",(Datos!J18-Datos!T18)/Datos!T18,(Datos!J18+Datos!AD18-(Datos!T18+Datos!AL18))/(Datos!T18+Datos!AL18))
     ),IF(D_I="SI",(Datos!J18-Datos!T18)/Datos!T18,(Datos!J18+Datos!AD18-(Datos!T18+Datos!AL18))/(Datos!T18+Datos!AL18))," - ")</f>
        <v>0.36363636363636365</v>
      </c>
      <c r="D18" s="515">
        <f>IF(ISNUMBER(
   IF(D_I="SI",(Datos!K18-Datos!U18)/Datos!U18,(Datos!K18+Datos!AE18-(Datos!U18+Datos!AM18))/(Datos!U18+Datos!AM18))
     ),IF(D_I="SI",(Datos!K18-Datos!U18)/Datos!U18,(Datos!K18+Datos!AE18-(Datos!U18+Datos!AM18))/(Datos!U18+Datos!AM18))," - ")</f>
        <v>-6.0606060606060608E-2</v>
      </c>
      <c r="E18" s="515">
        <f>IF(ISNUMBER(
   IF(D_I="SI",(Datos!L18-Datos!V18)/Datos!V18,(Datos!L18+Datos!AF18-(Datos!V18+Datos!AN18))/(Datos!V18+Datos!AN18))
     ),IF(D_I="SI",(Datos!L18-Datos!V18)/Datos!V18,(Datos!L18+Datos!AF18-(Datos!V18+Datos!AN18))/(Datos!V18+Datos!AN18))," - ")</f>
        <v>0.72727272727272729</v>
      </c>
      <c r="F18" s="515">
        <f>IF(ISNUMBER((Datos!M18-Datos!W18)/Datos!W18),(Datos!M18-Datos!W18)/Datos!W18," - ")</f>
        <v>0.75</v>
      </c>
      <c r="G18" s="516">
        <f>IF(ISNUMBER((Datos!N18-Datos!X18)/Datos!X18),(Datos!N18-Datos!X18)/Datos!X18," - ")</f>
        <v>0.15</v>
      </c>
      <c r="H18" s="514">
        <f>IF(ISNUMBER(((NºAsuntos!G18/NºAsuntos!E18)-Datos!BD18)/Datos!BD18),((NºAsuntos!G18/NºAsuntos!E18)-Datos!BD18)/Datos!BD18," - ")</f>
        <v>-0.31111111111111112</v>
      </c>
      <c r="I18" s="515">
        <f>IF(ISNUMBER(((NºAsuntos!I18/NºAsuntos!G18)-Datos!BE18)/Datos!BE18),((NºAsuntos!I18/NºAsuntos!G18)-Datos!BE18)/Datos!BE18," - ")</f>
        <v>0.83870967741935498</v>
      </c>
      <c r="J18" s="521">
        <f>IF(ISNUMBER((('Resol  Asuntos'!D18/NºAsuntos!G18)-Datos!BF18)/Datos!BF18),(('Resol  Asuntos'!D18/NºAsuntos!G18)-Datos!BF18)/Datos!BF18," - ")</f>
        <v>0.86290322580645151</v>
      </c>
      <c r="K18" s="522">
        <f>IF(ISNUMBER((((NºAsuntos!C18+NºAsuntos!E18)/NºAsuntos!G18)-Datos!BG18)/Datos!BG18),(((NºAsuntos!C18+NºAsuntos!E18)/NºAsuntos!G18)-Datos!BG18)/Datos!BG18," - ")</f>
        <v>0.20967741935483869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0.40311418685121109</v>
      </c>
      <c r="C23" s="1152">
        <f>IF(ISNUMBER(
   IF(Criterios!B14="SI",(Datos!J23-Datos!T23)/Datos!T23,(Datos!J23+Datos!AD23-(Datos!T23+Datos!AL23))/(Datos!T23+Datos!AL23))
     ),IF(Criterios!B14="SI",(Datos!J23-Datos!T23)/Datos!T23,(Datos!J23+Datos!AD23-(Datos!T23+Datos!AL23))/(Datos!T23+Datos!AL23))," - ")</f>
        <v>0.22300469483568075</v>
      </c>
      <c r="D23" s="1152">
        <f>IF(ISNUMBER(
   IF(Criterios!B14="SI",(Datos!K23-Datos!U23)/Datos!U23,(Datos!K23+Datos!AE23-(Datos!U23+Datos!AM23))/(Datos!U23+Datos!AM23))
     ),IF(Criterios!B14="SI",(Datos!K23-Datos!U23)/Datos!U23,(Datos!K23+Datos!AE23-(Datos!U23+Datos!AM23))/(Datos!U23+Datos!AM23))," - ")</f>
        <v>8.7855297157622733E-2</v>
      </c>
      <c r="E23" s="1152">
        <f>IF(ISNUMBER(
   IF(Criterios!B14="SI",(Datos!L23-Datos!V23)/Datos!V23,(Datos!L23+Datos!AF23-(Datos!V23+Datos!AN23))/(Datos!V23+Datos!AN23))
     ),IF(Criterios!B14="SI",(Datos!L23-Datos!V23)/Datos!V23,(Datos!L23+Datos!AF23-(Datos!V23+Datos!AN23))/(Datos!V23+Datos!AN23))," - ")</f>
        <v>0.47020933977455714</v>
      </c>
      <c r="F23" s="1153">
        <f>IF(ISNUMBER((Datos!M23-Datos!W23)/Datos!W23),(Datos!M23-Datos!W23)/Datos!W23," - ")</f>
        <v>0.46153846153846156</v>
      </c>
      <c r="G23" s="1154">
        <f>IF(ISNUMBER((Datos!N23-Datos!X23)/Datos!X23),(Datos!N23-Datos!X23)/Datos!X23," - ")</f>
        <v>6.3926940639269403E-2</v>
      </c>
      <c r="H23" s="1154">
        <f>IF(ISNUMBER(((NºAsuntos!G23/NºAsuntos!E23)-Datos!BD23)/Datos!BD23),((NºAsuntos!G23/NºAsuntos!E23)-Datos!BD23)/Datos!BD23," - ")</f>
        <v>-0.11050603341814341</v>
      </c>
      <c r="I23" s="1154">
        <f>IF(ISNUMBER(((NºAsuntos!I23/NºAsuntos!G23)-Datos!BE23)/Datos!BE23),((NºAsuntos!I23/NºAsuntos!G23)-Datos!BE23)/Datos!BE23," - ")</f>
        <v>0.35147509380701569</v>
      </c>
      <c r="J23" s="1154">
        <f>IF(ISNUMBER((('Resol  Asuntos'!D23/NºAsuntos!G23)-Datos!BF23)/Datos!BF23),(('Resol  Asuntos'!D23/NºAsuntos!G23)-Datos!BF23)/Datos!BF23," - ")</f>
        <v>0.34350447652110366</v>
      </c>
      <c r="K23" s="1154">
        <f>IF(ISNUMBER((((NºAsuntos!C23+NºAsuntos!E23)/NºAsuntos!G23)-Datos!BG23)/Datos!BG23),(((NºAsuntos!C23+NºAsuntos!E23)/NºAsuntos!G23)-Datos!BG23)/Datos!BG23," - ")</f>
        <v>0.21954935602010014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0.13462545835515977</v>
      </c>
      <c r="C31" s="1092">
        <f>IF(ISNUMBER(
   IF(J_V="SI",(Datos!J31-Datos!T31)/Datos!T31,(Datos!J31+Datos!Z31-(Datos!T31+Datos!AH31))/(Datos!T31+Datos!AH31))
     ),IF(J_V="SI",(Datos!J31-Datos!T31)/Datos!T31,(Datos!J31+Datos!Z31-(Datos!T31+Datos!AH31))/(Datos!T31+Datos!AH31))," - ")</f>
        <v>0.33866666666666667</v>
      </c>
      <c r="D31" s="1092">
        <f>IF(ISNUMBER(
   IF(J_V="SI",(Datos!K31-Datos!U31)/Datos!U31,(Datos!K31+Datos!AA31-(Datos!U31+Datos!AI31))/(Datos!U31+Datos!AI31))
     ),IF(J_V="SI",(Datos!K31-Datos!U31)/Datos!U31,(Datos!K31+Datos!AA31-(Datos!U31+Datos!AI31))/(Datos!U31+Datos!AI31))," - ")</f>
        <v>-3.4165571616294348E-2</v>
      </c>
      <c r="E31" s="1092">
        <f>IF(ISNUMBER(
   IF(J_V="SI",(Datos!L31-Datos!V31)/Datos!V31,(Datos!L31+Datos!AB31-(Datos!V31+Datos!AJ31))/(Datos!V31+Datos!AJ31))
     ),IF(J_V="SI",(Datos!L31-Datos!V31)/Datos!V31,(Datos!L31+Datos!AB31-(Datos!V31+Datos!AJ31))/(Datos!V31+Datos!AJ31))," - ")</f>
        <v>0.28128286014721349</v>
      </c>
      <c r="F31" s="1093">
        <f>IF(ISNUMBER((Datos!M31-Datos!W31)/Datos!W31),(Datos!M31-Datos!W31)/Datos!W31," - ")</f>
        <v>0.21153846153846154</v>
      </c>
      <c r="G31" s="1094">
        <f>IF(ISNUMBER((Datos!N31-Datos!X31)/Datos!X31),(Datos!N31-Datos!X31)/Datos!X31," - ")</f>
        <v>-3.6312849162011177E-2</v>
      </c>
      <c r="H31" s="1095">
        <f>IF(ISNUMBER((Tasas!B31-Datos!BD31)/Datos!BD31),(Tasas!B31-Datos!BD31)/Datos!BD31," - ")</f>
        <v>-0.27851013815958237</v>
      </c>
      <c r="I31" s="1096">
        <f>IF(ISNUMBER((Tasas!C31-Datos!BE31)/Datos!BE31),(Tasas!C31-Datos!BE31)/Datos!BE31," - ")</f>
        <v>0.32660715179867961</v>
      </c>
      <c r="J31" s="1097">
        <f>IF(ISNUMBER((Tasas!D31-Datos!BF31)/Datos!BF31),(Tasas!D31-Datos!BF31)/Datos!BF31," - ")</f>
        <v>-8.5580774365821163E-2</v>
      </c>
      <c r="K31" s="1097">
        <f>IF(ISNUMBER((Tasas!E31-Datos!BG31)/Datos!BG31),(Tasas!E31-Datos!BG31)/Datos!BG31," - ")</f>
        <v>0.23434977601420404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rUa1p9+eyMKmnpYwjdqf0urYatG//7LYgjp9jKFkp+YOqDvsawRb4BDV13i4HhpQFu383uzw6K1dAZR5YBs/A==" saltValue="15rRnsscsveMxJq04GF3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CERVERA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0.6555323590814196</v>
      </c>
      <c r="C12" s="498">
        <f>IF(ISNUMBER(NºAsuntos!I12/NºAsuntos!G12),NºAsuntos!I12/NºAsuntos!G12," - ")</f>
        <v>4.7929936305732488</v>
      </c>
      <c r="D12" s="499">
        <f>IF(ISNUMBER('Resol  Asuntos'!D12/NºAsuntos!G12),'Resol  Asuntos'!D12/NºAsuntos!G12," - ")</f>
        <v>0.23885350318471338</v>
      </c>
      <c r="E12" s="500">
        <f>IF(ISNUMBER((NºAsuntos!C12+NºAsuntos!E12)/NºAsuntos!G12),(NºAsuntos!C12+NºAsuntos!E12)/NºAsuntos!G12," - ")</f>
        <v>5.7929936305732488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0.65010351966873703</v>
      </c>
      <c r="C14" s="1156">
        <f>IF(ISNUMBER(NºAsuntos!I14/NºAsuntos!G14),NºAsuntos!I14/NºAsuntos!G14," - ")</f>
        <v>4.8535031847133761</v>
      </c>
      <c r="D14" s="1157">
        <f>IF(ISNUMBER('Resol  Asuntos'!D14/NºAsuntos!G14),'Resol  Asuntos'!D14/NºAsuntos!G14," - ")</f>
        <v>0.23885350318471338</v>
      </c>
      <c r="E14" s="1158">
        <f>IF(ISNUMBER((NºAsuntos!C14+NºAsuntos!E14)/NºAsuntos!G14),(NºAsuntos!C14+NºAsuntos!E14)/NºAsuntos!G14," - ")</f>
        <v>5.8535031847133761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0.81932773109243695</v>
      </c>
      <c r="C17" s="498">
        <f>IF(ISNUMBER(NºAsuntos!I17/NºAsuntos!G17),NºAsuntos!I17/NºAsuntos!G17," - ")</f>
        <v>2.2923076923076922</v>
      </c>
      <c r="D17" s="499">
        <f>IF(ISNUMBER('Resol  Asuntos'!D17/NºAsuntos!G17),'Resol  Asuntos'!D17/NºAsuntos!G17," - ")</f>
        <v>0.25641025641025639</v>
      </c>
      <c r="E17" s="500">
        <f>IF(ISNUMBER((NºAsuntos!C17+NºAsuntos!E17)/NºAsuntos!G17),(NºAsuntos!C17+NºAsuntos!E17)/NºAsuntos!G17," - ")</f>
        <v>3.287179487179487</v>
      </c>
      <c r="G17" s="523"/>
    </row>
    <row r="18" spans="1:7">
      <c r="A18" s="450" t="str">
        <f>Datos!A18</f>
        <v>Jdos. Violencia contra la mujer</v>
      </c>
      <c r="B18" s="497">
        <f>IF(ISNUMBER(NºAsuntos!G18/NºAsuntos!E18),NºAsuntos!G18/NºAsuntos!E18," - ")</f>
        <v>0.68888888888888888</v>
      </c>
      <c r="C18" s="498">
        <f>IF(ISNUMBER(NºAsuntos!I18/NºAsuntos!G18),NºAsuntos!I18/NºAsuntos!G18," - ")</f>
        <v>0.61290322580645162</v>
      </c>
      <c r="D18" s="499">
        <f>IF(ISNUMBER('Resol  Asuntos'!D18/NºAsuntos!G18),'Resol  Asuntos'!D18/NºAsuntos!G18," - ")</f>
        <v>0.45161290322580644</v>
      </c>
      <c r="E18" s="500">
        <f>IF(ISNUMBER((NºAsuntos!C18+NºAsuntos!E18)/NºAsuntos!G18),(NºAsuntos!C18+NºAsuntos!E18)/NºAsuntos!G18," - ")</f>
        <v>1.6129032258064515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0.80806142034548945</v>
      </c>
      <c r="C23" s="1156">
        <f>IF(ISNUMBER(NºAsuntos!I23/NºAsuntos!G23),NºAsuntos!I23/NºAsuntos!G23," - ")</f>
        <v>2.1686460807600949</v>
      </c>
      <c r="D23" s="1159">
        <f>IF(ISNUMBER('Resol  Asuntos'!D23/NºAsuntos!G23),'Resol  Asuntos'!D23/NºAsuntos!G23," - ")</f>
        <v>0.27078384798099764</v>
      </c>
      <c r="E23" s="1158">
        <f>IF(ISNUMBER((NºAsuntos!C23+NºAsuntos!E23)/NºAsuntos!G23),(NºAsuntos!C23+NºAsuntos!E23)/NºAsuntos!G23," - ")</f>
        <v>3.1638954869358669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0.73207171314741037</v>
      </c>
      <c r="C31" s="1099">
        <f>IF(ISNUMBER(NºAsuntos!I31/NºAsuntos!G31),NºAsuntos!I31/NºAsuntos!G31," - ")</f>
        <v>3.3156462585034014</v>
      </c>
      <c r="D31" s="1100">
        <f>IF(ISNUMBER('Resol  Asuntos'!D31/NºAsuntos!G31),'Resol  Asuntos'!D31/NºAsuntos!G31," - ")</f>
        <v>0.25714285714285712</v>
      </c>
      <c r="E31" s="1101">
        <f>IF(ISNUMBER((NºAsuntos!C31+NºAsuntos!E31)/NºAsuntos!G31),(NºAsuntos!C31+NºAsuntos!E31)/NºAsuntos!G31," - ")</f>
        <v>4.3129251700680271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YXFLxhifJPkEhNFrdEMDS1oGKLl4GUEdXN2UXTReUlPGY4vlZE0tYnZ1Ln0Cc3HPDfika0w+8F5kBwCmgDCFg==" saltValue="wp5LDRVGBs6zxcA0vF2I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CERVERA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15</v>
      </c>
      <c r="Y10" s="374">
        <f t="shared" ref="Y10:Y13" si="0">SUM(W10:X10)</f>
        <v>15</v>
      </c>
      <c r="Z10" s="375" t="str">
        <f>IF(ISNUMBER(Datos!CC10),Datos!CC10," - ")</f>
        <v xml:space="preserve"> - </v>
      </c>
      <c r="AA10" s="372">
        <f>IF(ISNUMBER(Datos!L10),Datos!L10,"-")</f>
        <v>19</v>
      </c>
      <c r="AB10" s="374">
        <f>IF(ISNUMBER(Datos!R10),Datos!R10," - ")</f>
        <v>12</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726</v>
      </c>
      <c r="Y12" s="374">
        <f t="shared" si="0"/>
        <v>726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v>
      </c>
      <c r="AJ12" s="243" t="str">
        <f>IF(ISNUMBER(Datos!BW12),Datos!BW12," - ")</f>
        <v xml:space="preserve"> - </v>
      </c>
      <c r="AK12" s="242" t="str">
        <f>IF(ISNUMBER(Datos!BX12),Datos!BX12," - ")</f>
        <v xml:space="preserve"> - </v>
      </c>
      <c r="AL12" s="266">
        <f>IF(ISNUMBER(NºAsuntos!G12/NºAsuntos!E12),NºAsuntos!G12/NºAsuntos!E12," - ")</f>
        <v>0.6555323590814196</v>
      </c>
      <c r="AM12" s="284">
        <f>IF(ISNUMBER(((NºAsuntos!I12/NºAsuntos!G12)*11)/factor_trimestre),((NºAsuntos!I12/NºAsuntos!G12)*11)/factor_trimestre," - ")</f>
        <v>9.5859872611464976</v>
      </c>
      <c r="AN12" s="267">
        <f>IF(ISNUMBER('Resol  Asuntos'!D12/NºAsuntos!G12),'Resol  Asuntos'!D12/NºAsuntos!G12," - ")</f>
        <v>0.23885350318471338</v>
      </c>
      <c r="AO12" s="268">
        <f>IF(ISNUMBER((NºAsuntos!C12+NºAsuntos!E12)/NºAsuntos!G12),(NºAsuntos!C12+NºAsuntos!E12)/NºAsuntos!G12," - ")</f>
        <v>5.7929936305732488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123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741</v>
      </c>
      <c r="Y14" s="1165">
        <f t="shared" si="6"/>
        <v>741</v>
      </c>
      <c r="Z14" s="1165">
        <f t="shared" si="6"/>
        <v>0</v>
      </c>
      <c r="AA14" s="1165">
        <f t="shared" si="6"/>
        <v>19</v>
      </c>
      <c r="AB14" s="1165">
        <f t="shared" si="6"/>
        <v>1694</v>
      </c>
      <c r="AC14" s="1165">
        <f t="shared" si="6"/>
        <v>31</v>
      </c>
      <c r="AD14" s="1165">
        <f t="shared" si="6"/>
        <v>0</v>
      </c>
      <c r="AE14" s="1169">
        <f t="shared" si="6"/>
        <v>0</v>
      </c>
      <c r="AF14" s="1162">
        <f t="shared" si="6"/>
        <v>0</v>
      </c>
      <c r="AG14" s="1170">
        <f t="shared" si="6"/>
        <v>0</v>
      </c>
      <c r="AH14" s="1167">
        <f t="shared" si="6"/>
        <v>0</v>
      </c>
      <c r="AI14" s="1162">
        <f t="shared" si="6"/>
        <v>75</v>
      </c>
      <c r="AJ14" s="1164">
        <f t="shared" si="6"/>
        <v>0</v>
      </c>
      <c r="AK14" s="1167">
        <f>SUBTOTAL(9,AK9:AK13)</f>
        <v>0</v>
      </c>
      <c r="AL14" s="1171">
        <f>IF(ISNUMBER(NºAsuntos!G14/NºAsuntos!E14),NºAsuntos!G14/NºAsuntos!E14," - ")</f>
        <v>0.65010351966873703</v>
      </c>
      <c r="AM14" s="1171">
        <f>IF(ISNUMBER(((NºAsuntos!I14/NºAsuntos!G14)*11)/factor_trimestre),((NºAsuntos!I14/NºAsuntos!G14)*11)/factor_trimestre," - ")</f>
        <v>9.7070063694267521</v>
      </c>
      <c r="AN14" s="1172">
        <f>IF(ISNUMBER('Resol  Asuntos'!D14/NºAsuntos!G14),'Resol  Asuntos'!D14/NºAsuntos!G14," - ")</f>
        <v>0.23885350318471338</v>
      </c>
      <c r="AO14" s="1173">
        <f>IF(ISNUMBER((NºAsuntos!C14+NºAsuntos!E14)/NºAsuntos!G14),(NºAsuntos!C14+NºAsuntos!E14)/NºAsuntos!G14," - ")</f>
        <v>5.8535031847133761</v>
      </c>
      <c r="AP14" s="1174" t="str">
        <f t="shared" si="2"/>
        <v xml:space="preserve"> - </v>
      </c>
      <c r="AQ14" s="1174">
        <f>IF(ISNUMBER((H14-W14+K14)/(F14)),(H14-W14+K14)/(F14)," - ")</f>
        <v>0</v>
      </c>
      <c r="AR14" s="1175">
        <f>IF(ISNUMBER((Datos!P14-Datos!Q14)/(Datos!R14-Datos!P14+Datos!Q14)),(Datos!P14-Datos!Q14)/(Datos!R14-Datos!P14+Datos!Q14)," - ")</f>
        <v>-0.26730103806228372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808</v>
      </c>
      <c r="G17" s="373">
        <f>IF(ISNUMBER(IF(D_I="SI",Datos!I17,Datos!I17+Datos!AC17)),IF(D_I="SI",Datos!I17,Datos!I17+Datos!AC17)," - ")</f>
        <v>806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390</v>
      </c>
      <c r="X17" s="240">
        <f>IF(ISNUMBER(Datos!Q17),Datos!Q17," - ")</f>
        <v>40</v>
      </c>
      <c r="Y17" s="374">
        <f t="shared" ref="Y17:Y22" si="9">SUM(W17:X17)</f>
        <v>430</v>
      </c>
      <c r="Z17" s="375" t="str">
        <f>IF(ISNUMBER(Datos!CC17),Datos!CC17," - ")</f>
        <v xml:space="preserve"> - </v>
      </c>
      <c r="AA17" s="372">
        <f>IF(ISNUMBER(IF(D_I="SI",Datos!L17,Datos!L17+Datos!AF17)),IF(D_I="SI",Datos!L17,Datos!L17+Datos!AF17)," - ")</f>
        <v>894</v>
      </c>
      <c r="AB17" s="374">
        <f>IF(ISNUMBER(Datos!R17),Datos!R17," - ")</f>
        <v>89</v>
      </c>
      <c r="AC17" s="374">
        <f t="shared" si="8"/>
        <v>983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100</v>
      </c>
      <c r="AJ17" s="245" t="str">
        <f>IF(ISNUMBER(Datos!BW17),Datos!BW17," - ")</f>
        <v xml:space="preserve"> - </v>
      </c>
      <c r="AK17" s="246" t="str">
        <f>IF(ISNUMBER(Datos!BX17),Datos!BX17," - ")</f>
        <v xml:space="preserve"> - </v>
      </c>
      <c r="AL17" s="266">
        <f>IF(ISNUMBER(NºAsuntos!G17/NºAsuntos!E17),NºAsuntos!G17/NºAsuntos!E17," - ")</f>
        <v>0.81932773109243695</v>
      </c>
      <c r="AM17" s="284">
        <f>IF(ISNUMBER(((NºAsuntos!I17/NºAsuntos!G17)*11)/factor_trimestre),((NºAsuntos!I17/NºAsuntos!G17)*11)/factor_trimestre," - ")</f>
        <v>4.5846153846153843</v>
      </c>
      <c r="AN17" s="267">
        <f>IF(ISNUMBER('Resol  Asuntos'!D17/NºAsuntos!G17),'Resol  Asuntos'!D17/NºAsuntos!G17," - ")</f>
        <v>0.25641025641025639</v>
      </c>
      <c r="AO17" s="268">
        <f>IF(ISNUMBER((NºAsuntos!C17+NºAsuntos!E17)/NºAsuntos!G17),(NºAsuntos!C17+NºAsuntos!E17)/NºAsuntos!G17," - ")</f>
        <v>3.287179487179487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19</v>
      </c>
      <c r="AB18" s="374">
        <f>IF(ISNUMBER(Datos!R18),Datos!R18," - ")</f>
        <v>3</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0.68888888888888888</v>
      </c>
      <c r="AM18" s="284">
        <f>IF(ISNUMBER(((NºAsuntos!I18/NºAsuntos!G18)*11)/factor_trimestre),((NºAsuntos!I18/NºAsuntos!G18)*11)/factor_trimestre," - ")</f>
        <v>1.2258064516129032</v>
      </c>
      <c r="AN18" s="267">
        <f>IF(ISNUMBER('Resol  Asuntos'!D18/NºAsuntos!G18),'Resol  Asuntos'!D18/NºAsuntos!G18," - ")</f>
        <v>0.45161290322580644</v>
      </c>
      <c r="AO18" s="268">
        <f>IF(ISNUMBER((NºAsuntos!C18+NºAsuntos!E18)/NºAsuntos!G18),(NºAsuntos!C18+NºAsuntos!E18)/NºAsuntos!G18," - ")</f>
        <v>1.6129032258064515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808</v>
      </c>
      <c r="G23" s="1163">
        <f>SUBTOTAL(9,G16:G22)</f>
        <v>811</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421</v>
      </c>
      <c r="X23" s="1164">
        <f t="shared" si="14"/>
        <v>40</v>
      </c>
      <c r="Y23" s="1165">
        <f t="shared" si="14"/>
        <v>461</v>
      </c>
      <c r="Z23" s="1165">
        <f t="shared" si="14"/>
        <v>0</v>
      </c>
      <c r="AA23" s="1165">
        <f t="shared" si="14"/>
        <v>913</v>
      </c>
      <c r="AB23" s="1165">
        <f t="shared" si="14"/>
        <v>92</v>
      </c>
      <c r="AC23" s="1165">
        <f t="shared" si="14"/>
        <v>1005</v>
      </c>
      <c r="AD23" s="1165">
        <f t="shared" si="14"/>
        <v>0</v>
      </c>
      <c r="AE23" s="1169">
        <f t="shared" si="14"/>
        <v>0</v>
      </c>
      <c r="AF23" s="1162">
        <f t="shared" si="14"/>
        <v>0</v>
      </c>
      <c r="AG23" s="1170">
        <f t="shared" si="14"/>
        <v>0</v>
      </c>
      <c r="AH23" s="1167">
        <f t="shared" si="14"/>
        <v>0</v>
      </c>
      <c r="AI23" s="1162">
        <f t="shared" si="14"/>
        <v>114</v>
      </c>
      <c r="AJ23" s="1164">
        <f t="shared" si="14"/>
        <v>0</v>
      </c>
      <c r="AK23" s="1167">
        <f t="shared" si="14"/>
        <v>0</v>
      </c>
      <c r="AL23" s="1171">
        <f>IF(ISNUMBER(NºAsuntos!G23/NºAsuntos!E23),NºAsuntos!G23/NºAsuntos!E23," - ")</f>
        <v>0.80806142034548945</v>
      </c>
      <c r="AM23" s="1171">
        <f>IF(ISNUMBER(((NºAsuntos!I23/NºAsuntos!G23)*11)/factor_trimestre),((NºAsuntos!I23/NºAsuntos!G23)*11)/factor_trimestre," - ")</f>
        <v>4.3372921615201898</v>
      </c>
      <c r="AN23" s="1172">
        <f>IF(ISNUMBER('Resol  Asuntos'!D23/NºAsuntos!G23),'Resol  Asuntos'!D23/NºAsuntos!G23," - ")</f>
        <v>0.27078384798099764</v>
      </c>
      <c r="AO23" s="1173">
        <f>IF(ISNUMBER((NºAsuntos!C23+NºAsuntos!E23)/NºAsuntos!G23),(NºAsuntos!C23+NºAsuntos!E23)/NºAsuntos!G23," - ")</f>
        <v>3.1638954869358669</v>
      </c>
      <c r="AP23" s="1174" t="str">
        <f t="shared" si="2"/>
        <v xml:space="preserve"> - </v>
      </c>
      <c r="AQ23" s="1174">
        <f>IF(ISNUMBER((H23-W23+K23)/(F23)),(H23-W23+K23)/(F23)," - ")</f>
        <v>-0.52103960396039606</v>
      </c>
      <c r="AR23" s="1175">
        <f>IF(ISNUMBER((Datos!P23-Datos!Q23)/(Datos!R23-Datos!P23+Datos!Q23)),(Datos!P23-Datos!Q23)/(Datos!R23-Datos!P23+Datos!Q23)," - ")</f>
        <v>-0.23966942148760331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823</v>
      </c>
      <c r="G31" s="1118">
        <f t="shared" si="20"/>
        <v>826</v>
      </c>
      <c r="H31" s="1117">
        <f t="shared" si="20"/>
        <v>0</v>
      </c>
      <c r="I31" s="1119">
        <f t="shared" si="20"/>
        <v>0</v>
      </c>
      <c r="J31" s="1119">
        <f t="shared" si="20"/>
        <v>0</v>
      </c>
      <c r="K31" s="1180">
        <f t="shared" si="20"/>
        <v>0</v>
      </c>
      <c r="L31" s="1119">
        <f t="shared" si="20"/>
        <v>134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421</v>
      </c>
      <c r="X31" s="1118">
        <f t="shared" si="21"/>
        <v>781</v>
      </c>
      <c r="Y31" s="1125">
        <f t="shared" si="21"/>
        <v>1202</v>
      </c>
      <c r="Z31" s="1125">
        <f t="shared" si="21"/>
        <v>0</v>
      </c>
      <c r="AA31" s="1125">
        <f t="shared" si="21"/>
        <v>932</v>
      </c>
      <c r="AB31" s="1125">
        <f t="shared" si="21"/>
        <v>1786</v>
      </c>
      <c r="AC31" s="1125">
        <f t="shared" si="21"/>
        <v>1036</v>
      </c>
      <c r="AD31" s="1125">
        <f t="shared" si="21"/>
        <v>0</v>
      </c>
      <c r="AE31" s="1127">
        <f t="shared" si="21"/>
        <v>0</v>
      </c>
      <c r="AF31" s="1128">
        <f t="shared" si="21"/>
        <v>0</v>
      </c>
      <c r="AG31" s="1129">
        <f t="shared" si="21"/>
        <v>0</v>
      </c>
      <c r="AH31" s="1127">
        <f t="shared" si="21"/>
        <v>0</v>
      </c>
      <c r="AI31" s="1117">
        <f t="shared" si="21"/>
        <v>189</v>
      </c>
      <c r="AJ31" s="1117">
        <f t="shared" si="21"/>
        <v>0</v>
      </c>
      <c r="AK31" s="1127">
        <f t="shared" si="21"/>
        <v>0</v>
      </c>
      <c r="AL31" s="1183">
        <f>IF(ISNUMBER(NºAsuntos!G31/NºAsuntos!E31),NºAsuntos!G31/NºAsuntos!E31," - ")</f>
        <v>0.73207171314741037</v>
      </c>
      <c r="AM31" s="1184">
        <f>IF(ISNUMBER(((NºAsuntos!I31/NºAsuntos!G31)*11)/factor_trimestre),((NºAsuntos!I31/NºAsuntos!G31)*11)/factor_trimestre," - ")</f>
        <v>6.631292517006802</v>
      </c>
      <c r="AN31" s="1184">
        <f>IF(ISNUMBER('Resol  Asuntos'!D31/NºAsuntos!G31),'Resol  Asuntos'!D31/NºAsuntos!G31," - ")</f>
        <v>0.25714285714285712</v>
      </c>
      <c r="AO31" s="1185">
        <f>IF(ISNUMBER((NºAsuntos!C31+NºAsuntos!E31)/NºAsuntos!G31),(NºAsuntos!C31+NºAsuntos!E31)/NºAsuntos!G31," - ")</f>
        <v>4.3129251700680271</v>
      </c>
      <c r="AP31" s="1186" t="str">
        <f t="shared" si="2"/>
        <v xml:space="preserve"> - </v>
      </c>
      <c r="AQ31" s="1187">
        <f>IF(OR(ISNUMBER(FIND("01",Criterios!A8,1)),ISNUMBER(FIND("02",Criterios!A8,1)),ISNUMBER(FIND("03",Criterios!A8,1)),ISNUMBER(FIND("04",Criterios!A8,1))),(I31-W31+K31)/(F31-K31),(H31-W31+K31)/(F31-K31))</f>
        <v>-0.51154313487241798</v>
      </c>
      <c r="AR31" s="1188">
        <f>IF(ISNUMBER((Datos!P31-Datos!Q31)/(Datos!R31-Datos!P31+Datos!Q31)),(Datos!P31-Datos!Q31)/(Datos!R31-Datos!P31+Datos!Q31)," - ")</f>
        <v>-0.26592683929305383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413.43084871192985</v>
      </c>
      <c r="G33" s="277">
        <f>IF(ISNUMBER(STDEV(G8:G30)),STDEV(G8:G30),"-")</f>
        <v>391.14362238611704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195.37205044539533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48.67017273737288</v>
      </c>
      <c r="AJ33" s="276">
        <f t="shared" si="25"/>
        <v>0</v>
      </c>
      <c r="AK33" s="278">
        <f t="shared" si="25"/>
        <v>0</v>
      </c>
      <c r="AL33" s="273">
        <f t="shared" si="25"/>
        <v>0.30489657649013757</v>
      </c>
      <c r="AM33" s="274">
        <f t="shared" si="25"/>
        <v>3.6776172405425305</v>
      </c>
      <c r="AN33" s="274">
        <f t="shared" si="25"/>
        <v>9.0608641501825113E-2</v>
      </c>
      <c r="AO33" s="275">
        <f t="shared" si="25"/>
        <v>1.8397656183114943</v>
      </c>
      <c r="AP33" s="317" t="str">
        <f t="shared" si="25"/>
        <v>-</v>
      </c>
      <c r="AQ33" s="318">
        <f t="shared" si="25"/>
        <v>0.36843063722714914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gTitsvS/T4HHGOi+6gJ5mA02uYo45guOaS6QQ6XpAIjnfyhu7PB3O4zgkHZOzoyj5BzGZfT2UmxGBojXPonRw==" saltValue="jwuuToqVzfyqjL+ldZrI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CERVERA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0</v>
      </c>
      <c r="F10" s="393">
        <f>IF(ISNUMBER((Datos!K10-Datos!U10)/Datos!U10),(Datos!K10-Datos!U10)/Datos!U10," - ")</f>
        <v>-1</v>
      </c>
      <c r="G10" s="394">
        <f>IF(ISNUMBER((Datos!L10-Datos!V10)/Datos!V10),(Datos!L10-Datos!V10)/Datos!V10," - ")</f>
        <v>0.58333333333333337</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-1.3157894736842105E-2</v>
      </c>
      <c r="I12" s="395">
        <f>IF(ISNUMBER((Tasas!C12-Datos!BE12)/Datos!BE12),(Tasas!C12-Datos!BE12)/Datos!BE12," - ")</f>
        <v>0.38993038301887756</v>
      </c>
      <c r="J12" s="394">
        <f>IF(ISNUMBER((Tasas!D12-Datos!BF12)/Datos!BF12),(Tasas!D12-Datos!BF12)/Datos!BF12," - ")</f>
        <v>-0.34404411065690654</v>
      </c>
      <c r="K12" s="396">
        <f>IF(ISNUMBER((Tasas!E12-Datos!BG12)/Datos!BG12),(Tasas!E12-Datos!BG12)/Datos!BG12," - ")</f>
        <v>0.30227346124065696</v>
      </c>
      <c r="M12" t="e">
        <f>IF(Monitorios="SI",Datos!CE12,0)</f>
        <v>#REF!</v>
      </c>
      <c r="N12" t="e">
        <f>IF(Monitorios="SI",Datos!CF12,0)</f>
        <v>#REF!</v>
      </c>
      <c r="O12" t="e">
        <f>IF(Monitorios="SI",Datos!CG12,0)</f>
        <v>#REF!</v>
      </c>
      <c r="P12" t="e">
        <f>IF(Monitorios="SI",Datos!CH12,0)</f>
        <v>#REF!</v>
      </c>
      <c r="Q12">
        <f>IF(J_V="SI",0,Datos!AG12)</f>
        <v>13</v>
      </c>
      <c r="R12">
        <f>IF(J_V="SI",0,Datos!AH12)</f>
        <v>16</v>
      </c>
      <c r="S12">
        <f>IF(J_V="SI",0,Datos!AI12)</f>
        <v>12</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-3.8461538461538464E-2</v>
      </c>
      <c r="I14" s="402">
        <f>IF(ISNUMBER((Tasas!C14-Datos!BE14)/Datos!BE14),(Tasas!C14-Datos!BE14)/Datos!BE14," - ")</f>
        <v>0.41702591029102465</v>
      </c>
      <c r="J14" s="400">
        <f>IF(ISNUMBER((Tasas!D14-Datos!BF14)/Datos!BF14),(Tasas!D14-Datos!BF14)/Datos!BF14," - ")</f>
        <v>-0.34315286624203822</v>
      </c>
      <c r="K14" s="403">
        <f>IF(ISNUMBER((Tasas!E14-Datos!BG14)/Datos!BG14),(Tasas!E14-Datos!BG14)/Datos!BG14," - ")</f>
        <v>0.32278561394731287</v>
      </c>
      <c r="M14" t="e">
        <f>IF(Monitorios="SI",Datos!CE14,0)</f>
        <v>#REF!</v>
      </c>
      <c r="N14" t="e">
        <f>IF(Monitorios="SI",Datos!CF14,0)</f>
        <v>#REF!</v>
      </c>
      <c r="O14" t="e">
        <f>IF(Monitorios="SI",Datos!CG14,0)</f>
        <v>#REF!</v>
      </c>
      <c r="P14" t="e">
        <f>IF(Monitorios="SI",Datos!CH14,0)</f>
        <v>#REF!</v>
      </c>
      <c r="Q14">
        <f>IF(J_V="SI",0,Datos!AG14)</f>
        <v>13</v>
      </c>
      <c r="R14">
        <f>IF(J_V="SI",0,Datos!AH14)</f>
        <v>16</v>
      </c>
      <c r="S14">
        <f>IF(J_V="SI",0,Datos!AI14)</f>
        <v>12</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0.42151675485008816</v>
      </c>
      <c r="E17" s="393">
        <f>IF(ISNUMBER(
   IF(D_I="SI",(Datos!J17-Datos!T17)/Datos!T17,(Datos!J17+Datos!AD17-(Datos!T17+Datos!AL17))/(Datos!T17+Datos!AL17))
     ),IF(D_I="SI",(Datos!J17-Datos!T17)/Datos!T17,(Datos!J17+Datos!AD17-(Datos!T17+Datos!AL17))/(Datos!T17+Datos!AL17))," - ")</f>
        <v>0.21119592875318066</v>
      </c>
      <c r="F17" s="393">
        <f>IF(ISNUMBER(
   IF(D_I="SI",(Datos!K17-Datos!U17)/Datos!U17,(Datos!K17+Datos!AE17-(Datos!U17+Datos!AM17))/(Datos!U17+Datos!AM17))
     ),IF(D_I="SI",(Datos!K17-Datos!U17)/Datos!U17,(Datos!K17+Datos!AE17-(Datos!U17+Datos!AM17))/(Datos!U17+Datos!AM17))," - ")</f>
        <v>0.10169491525423729</v>
      </c>
      <c r="G17" s="394">
        <f>IF(ISNUMBER(
   IF(D_I="SI",(Datos!L17-Datos!V17)/Datos!V17,(Datos!L17+Datos!AF17-(Datos!V17+Datos!AN17))/(Datos!V17+Datos!AN17))
     ),IF(D_I="SI",(Datos!L17-Datos!V17)/Datos!V17,(Datos!L17+Datos!AF17-(Datos!V17+Datos!AN17))/(Datos!V17+Datos!AN17))," - ")</f>
        <v>0.46557377049180326</v>
      </c>
      <c r="H17" s="244">
        <f>IF(ISNUMBER((Datos!M17-Datos!W17)/Datos!W17),(Datos!M17-Datos!W17)/Datos!W17," - ")</f>
        <v>0.42857142857142855</v>
      </c>
      <c r="I17" s="395">
        <f>IF(ISNUMBER((Tasas!C17-Datos!BE17)/Datos!BE17),(Tasas!C17-Datos!BE17)/Datos!BE17," - ")</f>
        <v>0.33029003783102134</v>
      </c>
      <c r="J17" s="394">
        <f>IF(ISNUMBER((Tasas!D17-Datos!BF17)/Datos!BF17),(Tasas!D17-Datos!BF17)/Datos!BF17," - ")</f>
        <v>0.29670329670329654</v>
      </c>
      <c r="K17" s="396">
        <f>IF(ISNUMBER((Tasas!E17-Datos!BG17)/Datos!BG17),(Tasas!E17-Datos!BG17)/Datos!BG17," - ")</f>
        <v>0.2121474358974359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-0.54545454545454541</v>
      </c>
      <c r="E18" s="393">
        <f>IF(ISNUMBER(
   IF(D_I="SI",(Datos!J18-Datos!T18)/Datos!T18,(Datos!J18+Datos!AD18-(Datos!T18+Datos!AL18))/(Datos!T18+Datos!AL18))
     ),IF(D_I="SI",(Datos!J18-Datos!T18)/Datos!T18,(Datos!J18+Datos!AD18-(Datos!T18+Datos!AL18))/(Datos!T18+Datos!AL18))," - ")</f>
        <v>0.36363636363636365</v>
      </c>
      <c r="F18" s="393">
        <f>IF(ISNUMBER(
   IF(D_I="SI",(Datos!K18-Datos!U18)/Datos!U18,(Datos!K18+Datos!AE18-(Datos!U18+Datos!AM18))/(Datos!U18+Datos!AM18))
     ),IF(D_I="SI",(Datos!K18-Datos!U18)/Datos!U18,(Datos!K18+Datos!AE18-(Datos!U18+Datos!AM18))/(Datos!U18+Datos!AM18))," - ")</f>
        <v>-6.0606060606060608E-2</v>
      </c>
      <c r="G18" s="394">
        <f>IF(ISNUMBER(
   IF(D_I="SI",(Datos!L18-Datos!V18)/Datos!V18,(Datos!L18+Datos!AF18-(Datos!V18+Datos!AN18))/(Datos!V18+Datos!AN18))
     ),IF(D_I="SI",(Datos!L18-Datos!V18)/Datos!V18,(Datos!L18+Datos!AF18-(Datos!V18+Datos!AN18))/(Datos!V18+Datos!AN18))," - ")</f>
        <v>0.72727272727272729</v>
      </c>
      <c r="H18" s="244">
        <f>IF(ISNUMBER((Datos!M18-Datos!W18)/Datos!W18),(Datos!M18-Datos!W18)/Datos!W18," - ")</f>
        <v>0.75</v>
      </c>
      <c r="I18" s="395">
        <f>IF(ISNUMBER((Tasas!C18-Datos!BE18)/Datos!BE18),(Tasas!C18-Datos!BE18)/Datos!BE18," - ")</f>
        <v>0.83870967741935498</v>
      </c>
      <c r="J18" s="394">
        <f>IF(ISNUMBER((Tasas!D18-Datos!BF18)/Datos!BF18),(Tasas!D18-Datos!BF18)/Datos!BF18," - ")</f>
        <v>0.86290322580645151</v>
      </c>
      <c r="K18" s="396">
        <f>IF(ISNUMBER((Tasas!E18-Datos!BG18)/Datos!BG18),(Tasas!E18-Datos!BG18)/Datos!BG18," - ")</f>
        <v>0.20967741935483869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0.40311418685121109</v>
      </c>
      <c r="E23" s="399">
        <f>IF(ISNUMBER(
   IF(D_I="SI",(Datos!J23-Datos!T23)/Datos!T23,(Datos!J23+Datos!AD23-(Datos!T23+Datos!AL23))/(Datos!T23+Datos!AL23))
     ),IF(D_I="SI",(Datos!J23-Datos!T23)/Datos!T23,(Datos!J23+Datos!AD23-(Datos!T23+Datos!AL23))/(Datos!T23+Datos!AL23))," - ")</f>
        <v>0.22300469483568075</v>
      </c>
      <c r="F23" s="399">
        <f>IF(ISNUMBER(
   IF(D_I="SI",(Datos!K23-Datos!U23)/Datos!U23,(Datos!K23+Datos!AE23-(Datos!U23+Datos!AM23))/(Datos!U23+Datos!AM23))
     ),IF(D_I="SI",(Datos!K23-Datos!U23)/Datos!U23,(Datos!K23+Datos!AE23-(Datos!U23+Datos!AM23))/(Datos!U23+Datos!AM23))," - ")</f>
        <v>8.7855297157622733E-2</v>
      </c>
      <c r="G23" s="400">
        <f>IF(ISNUMBER(
   IF(D_I="SI",(Datos!L23-Datos!V23)/Datos!V23,(Datos!L23+Datos!AF23-(Datos!V23+Datos!AN23))/(Datos!V23+Datos!AN23))
     ),IF(D_I="SI",(Datos!L23-Datos!V23)/Datos!V23,(Datos!L23+Datos!AF23-(Datos!V23+Datos!AN23))/(Datos!V23+Datos!AN23))," - ")</f>
        <v>0.47020933977455714</v>
      </c>
      <c r="H23" s="401">
        <f>IF(ISNUMBER((Datos!M23-Datos!W23)/Datos!W23),(Datos!M23-Datos!W23)/Datos!W23," - ")</f>
        <v>0.46153846153846156</v>
      </c>
      <c r="I23" s="402">
        <f>IF(ISNUMBER((Tasas!C23-Datos!BE23)/Datos!BE23),(Tasas!C23-Datos!BE23)/Datos!BE23," - ")</f>
        <v>0.35147509380701569</v>
      </c>
      <c r="J23" s="400">
        <f>IF(ISNUMBER((Tasas!D23-Datos!BF23)/Datos!BF23),(Tasas!D23-Datos!BF23)/Datos!BF23," - ")</f>
        <v>0.34350447652110366</v>
      </c>
      <c r="K23" s="403">
        <f>IF(ISNUMBER((Tasas!E23-Datos!BG23)/Datos!BG23),(Tasas!E23-Datos!BG23)/Datos!BG23," - ")</f>
        <v>0.21954935602010014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0.13462545835515977</v>
      </c>
      <c r="E31" s="409">
        <f>IF(ISNUMBER(
   IF(J_V="SI",(Datos!J31-Datos!T31)/Datos!T31,(Datos!J31+Datos!Z31-(Datos!T31+Datos!AH31))/(Datos!T31+Datos!AH31))
     ),IF(J_V="SI",(Datos!J31-Datos!T31)/Datos!T31,(Datos!J31+Datos!Z31-(Datos!T31+Datos!AH31))/(Datos!T31+Datos!AH31))," - ")</f>
        <v>0.33866666666666667</v>
      </c>
      <c r="F31" s="409">
        <f>IF(ISNUMBER(
   IF(J_V="SI",(Datos!K31-Datos!U31)/Datos!U31,(Datos!K31+Datos!AA31-(Datos!U31+Datos!AI31))/(Datos!U31+Datos!AI31))
     ),IF(J_V="SI",(Datos!K31-Datos!U31)/Datos!U31,(Datos!K31+Datos!AA31-(Datos!U31+Datos!AI31))/(Datos!U31+Datos!AI31))," - ")</f>
        <v>-3.4165571616294348E-2</v>
      </c>
      <c r="G31" s="410">
        <f>IF(ISNUMBER(
   IF(J_V="SI",(Datos!L31-Datos!V31)/Datos!V31,(Datos!L31+Datos!AB31-(Datos!V31+Datos!AJ31))/(Datos!V31+Datos!AJ31))
     ),IF(J_V="SI",(Datos!L31-Datos!V31)/Datos!V31,(Datos!L31+Datos!AB31-(Datos!V31+Datos!AJ31))/(Datos!V31+Datos!AJ31))," - ")</f>
        <v>0.28128286014721349</v>
      </c>
      <c r="H31" s="411">
        <f>IF(ISNUMBER((Datos!M31-Datos!W31)/Datos!W31),(Datos!M31-Datos!W31)/Datos!W31," - ")</f>
        <v>0.21153846153846154</v>
      </c>
      <c r="I31" s="408">
        <f>IF(ISNUMBER((Tasas!C31-Datos!BE31)/Datos!BE31),(Tasas!C31-Datos!BE31)/Datos!BE31," - ")</f>
        <v>0.32660715179867961</v>
      </c>
      <c r="J31" s="409">
        <f>IF(ISNUMBER((Tasas!D31-Datos!BF31)/Datos!BF31),(Tasas!D31-Datos!BF31)/Datos!BF31," - ")</f>
        <v>-8.5580774365821163E-2</v>
      </c>
      <c r="K31" s="410">
        <f>IF(ISNUMBER((Tasas!E31-Datos!BG31)/Datos!BG31),(Tasas!E31-Datos!BG31)/Datos!BG31," - ")</f>
        <v>0.23434977601420404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0.45168911262569367</v>
      </c>
      <c r="E33" s="303">
        <f t="shared" si="1"/>
        <v>0.1499224851417062</v>
      </c>
      <c r="F33" s="303">
        <f t="shared" si="1"/>
        <v>0.52663995637154759</v>
      </c>
      <c r="G33" s="304">
        <f t="shared" si="1"/>
        <v>0.12314365573108331</v>
      </c>
      <c r="H33" s="310">
        <f t="shared" si="1"/>
        <v>0.61694788618744667</v>
      </c>
      <c r="I33" s="302">
        <f t="shared" si="1"/>
        <v>0.21132284534328366</v>
      </c>
      <c r="J33" s="303">
        <f t="shared" si="1"/>
        <v>0.51322686264393746</v>
      </c>
      <c r="K33" s="304">
        <f t="shared" si="1"/>
        <v>5.4685963932263097E-2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hdQNBPbR19gANNfcbbmqkaFB4YshnM5R58AJ5BN91b/T6pGuJaoQ8gmhiN4nezIx4XRQ7Vkoq/UELl81SXFJA==" saltValue="X44UG+5WHlC6n5BJfxm0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